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6.xml" ContentType="application/vnd.openxmlformats-officedocument.spreadsheetml.comments+xml"/>
  <Override PartName="/xl/drawings/drawing10.xml" ContentType="application/vnd.openxmlformats-officedocument.drawing+xml"/>
  <Override PartName="/xl/comments7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8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userName="s177040" algorithmName="SHA-512" hashValue="I2eU8rARMOPcTyUIeQFH+fmNQBg/GgXXCB/5VaMif5MfI+eUHwOuSy+EpR8HhvegSyRKClGZen5rWTF/qFwYUA==" saltValue="4puqFK+dIGae1LxnzI/x/A==" spinCount="10000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AEP SPP Trans Formula Rates PSO SWE OKT SWT\2020 Projection\Filing 10-31-19 OPCOs\"/>
    </mc:Choice>
  </mc:AlternateContent>
  <bookViews>
    <workbookView xWindow="690" yWindow="6045" windowWidth="18510" windowHeight="1140" tabRatio="939"/>
  </bookViews>
  <sheets>
    <sheet name="PSO Sch 11 Rates" sheetId="17" r:id="rId1"/>
    <sheet name="PSO.WS.F.BPU.ATRR.Projected" sheetId="1" r:id="rId2"/>
    <sheet name="PSO.WS.G.BPU.ATRR.True-up" sheetId="2" r:id="rId3"/>
    <sheet name="P.001" sheetId="3" r:id="rId4"/>
    <sheet name="P.002" sheetId="4" r:id="rId5"/>
    <sheet name="P.003" sheetId="5" r:id="rId6"/>
    <sheet name="P.004" sheetId="6" r:id="rId7"/>
    <sheet name="P.005" sheetId="7" r:id="rId8"/>
    <sheet name="P.006" sheetId="8" r:id="rId9"/>
    <sheet name="P.007" sheetId="9" r:id="rId10"/>
    <sheet name="P.008" sheetId="10" r:id="rId11"/>
    <sheet name="P.009" sheetId="11" r:id="rId12"/>
    <sheet name="P.010" sheetId="22" r:id="rId13"/>
    <sheet name="P.011" sheetId="23" r:id="rId14"/>
    <sheet name="P.012" sheetId="24" r:id="rId15"/>
    <sheet name="P.013" sheetId="25" r:id="rId16"/>
    <sheet name="P.014" sheetId="27" r:id="rId17"/>
    <sheet name="P.015" sheetId="28" r:id="rId18"/>
    <sheet name="P.016" sheetId="29" r:id="rId19"/>
    <sheet name="P.017" sheetId="30" r:id="rId20"/>
    <sheet name="P.018" sheetId="31" r:id="rId21"/>
    <sheet name="P.019" sheetId="37" r:id="rId22"/>
    <sheet name="P.020" sheetId="38" r:id="rId23"/>
    <sheet name="P.021" sheetId="39" r:id="rId24"/>
    <sheet name="P.022" sheetId="40" r:id="rId25"/>
    <sheet name="P.023" sheetId="41" r:id="rId26"/>
    <sheet name="P.024" sheetId="42" r:id="rId27"/>
    <sheet name="P.025" sheetId="43" r:id="rId28"/>
    <sheet name="P.026" sheetId="44" r:id="rId29"/>
    <sheet name="P.027" sheetId="45" r:id="rId30"/>
    <sheet name="P.028" sheetId="46" r:id="rId31"/>
    <sheet name="P.xyz - blank" sheetId="13" r:id="rId32"/>
  </sheets>
  <externalReferences>
    <externalReference r:id="rId33"/>
  </externalReferences>
  <definedNames>
    <definedName name="_NPh1">#REF!</definedName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llocator">#REF!</definedName>
    <definedName name="allocators">#REF!</definedName>
    <definedName name="allocatorsSWP">#REF!</definedName>
    <definedName name="allocatorSWP1">'[1]SWP TCOS 2008 13 Month'!$I$317:$J$328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rrYear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P_h1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AEP_STATE_JURIS">"AEP_ST_JD_TBL"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3">P.001!$A$1:$P$165</definedName>
    <definedName name="_xlnm.Print_Area" localSheetId="4">P.002!$A$1:$P$165</definedName>
    <definedName name="_xlnm.Print_Area" localSheetId="5">P.003!$A$1:$P$165</definedName>
    <definedName name="_xlnm.Print_Area" localSheetId="6">P.004!$A$1:$P$165</definedName>
    <definedName name="_xlnm.Print_Area" localSheetId="7">P.005!$A$1:$P$165</definedName>
    <definedName name="_xlnm.Print_Area" localSheetId="8">P.006!$A$1:$P$165</definedName>
    <definedName name="_xlnm.Print_Area" localSheetId="9">P.007!$A$1:$P$165</definedName>
    <definedName name="_xlnm.Print_Area" localSheetId="10">P.008!$A$1:$P$165</definedName>
    <definedName name="_xlnm.Print_Area" localSheetId="11">P.009!$A$1:$P$165</definedName>
    <definedName name="_xlnm.Print_Area" localSheetId="12">P.010!$A$1:$P$165</definedName>
    <definedName name="_xlnm.Print_Area" localSheetId="13">P.011!$A$1:$P$165</definedName>
    <definedName name="_xlnm.Print_Area" localSheetId="14">P.012!$A$1:$P$165</definedName>
    <definedName name="_xlnm.Print_Area" localSheetId="15">P.013!$A$1:$P$165</definedName>
    <definedName name="_xlnm.Print_Area" localSheetId="16">P.014!$A$1:$P$165</definedName>
    <definedName name="_xlnm.Print_Area" localSheetId="17">P.015!$A$1:$P$165</definedName>
    <definedName name="_xlnm.Print_Area" localSheetId="18">P.016!$A$1:$P$165</definedName>
    <definedName name="_xlnm.Print_Area" localSheetId="19">P.017!$A$1:$P$165</definedName>
    <definedName name="_xlnm.Print_Area" localSheetId="20">P.018!$A$1:$P$165</definedName>
    <definedName name="_xlnm.Print_Area" localSheetId="21">P.019!$A$1:$P$165</definedName>
    <definedName name="_xlnm.Print_Area" localSheetId="22">P.020!$A$1:$P$165</definedName>
    <definedName name="_xlnm.Print_Area" localSheetId="23">P.021!$A$1:$P$165</definedName>
    <definedName name="_xlnm.Print_Area" localSheetId="24">P.022!$A$1:$P$165</definedName>
    <definedName name="_xlnm.Print_Area" localSheetId="31">'P.xyz - blank'!$A$1:$P$165</definedName>
    <definedName name="_xlnm.Print_Area" localSheetId="0">'PSO Sch 11 Rates'!$A$1:$T$49</definedName>
    <definedName name="_xlnm.Print_Area" localSheetId="1">PSO.WS.F.BPU.ATRR.Projected!$A$1:$O$93</definedName>
    <definedName name="_xlnm.Print_Area" localSheetId="2">'PSO.WS.G.BPU.ATRR.True-up'!$A$1:$P$96</definedName>
    <definedName name="_xlnm.Print_Titles" localSheetId="5">P.003!#REF!</definedName>
    <definedName name="_xlnm.Print_Titles" localSheetId="6">P.004!#REF!</definedName>
    <definedName name="_xlnm.Print_Titles" localSheetId="7">P.005!#REF!</definedName>
    <definedName name="_xlnm.Print_Titles" localSheetId="8">P.006!#REF!</definedName>
    <definedName name="_xlnm.Print_Titles" localSheetId="9">P.007!#REF!</definedName>
    <definedName name="_xlnm.Print_Titles" localSheetId="10">P.008!#REF!</definedName>
    <definedName name="_xlnm.Print_Titles" localSheetId="11">P.009!#REF!</definedName>
    <definedName name="_xlnm.Print_Titles" localSheetId="12">P.010!#REF!</definedName>
    <definedName name="_xlnm.Print_Titles" localSheetId="13">P.011!#REF!</definedName>
    <definedName name="_xlnm.Print_Titles" localSheetId="14">P.012!#REF!</definedName>
    <definedName name="_xlnm.Print_Titles" localSheetId="15">P.013!#REF!</definedName>
    <definedName name="_xlnm.Print_Titles" localSheetId="16">P.014!#REF!</definedName>
    <definedName name="_xlnm.Print_Titles" localSheetId="17">P.015!#REF!</definedName>
    <definedName name="_xlnm.Print_Titles" localSheetId="18">P.016!#REF!</definedName>
    <definedName name="_xlnm.Print_Titles" localSheetId="19">P.017!#REF!</definedName>
    <definedName name="_xlnm.Print_Titles" localSheetId="20">P.018!#REF!</definedName>
    <definedName name="_xlnm.Print_Titles" localSheetId="21">P.019!#REF!</definedName>
    <definedName name="_xlnm.Print_Titles" localSheetId="22">P.020!#REF!</definedName>
    <definedName name="_xlnm.Print_Titles" localSheetId="23">P.021!#REF!</definedName>
    <definedName name="_xlnm.Print_Titles" localSheetId="31">'P.xyz - blank'!#REF!</definedName>
    <definedName name="_xlnm.Print_Titles" localSheetId="1">PSO.WS.F.BPU.ATRR.Projected!$1:$6</definedName>
    <definedName name="_xlnm.Print_Titles" localSheetId="2">'PSO.WS.G.BPU.ATRR.True-up'!$1:$5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SOallocatorsP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_xlnm.Recorder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WPallocatorsH">#REF!</definedName>
    <definedName name="SWPallocatorsP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ip">#REF!</definedName>
  </definedNames>
  <calcPr calcId="162913"/>
</workbook>
</file>

<file path=xl/calcChain.xml><?xml version="1.0" encoding="utf-8"?>
<calcChain xmlns="http://schemas.openxmlformats.org/spreadsheetml/2006/main">
  <c r="K47" i="17" l="1"/>
  <c r="W45" i="17" l="1"/>
  <c r="P45" i="17"/>
  <c r="L45" i="17"/>
  <c r="P154" i="46"/>
  <c r="O154" i="46"/>
  <c r="M154" i="46"/>
  <c r="J154" i="46"/>
  <c r="P153" i="46"/>
  <c r="O153" i="46"/>
  <c r="M153" i="46"/>
  <c r="J153" i="46"/>
  <c r="P152" i="46"/>
  <c r="O152" i="46"/>
  <c r="M152" i="46"/>
  <c r="J152" i="46"/>
  <c r="P151" i="46"/>
  <c r="O151" i="46"/>
  <c r="M151" i="46"/>
  <c r="J151" i="46"/>
  <c r="P150" i="46"/>
  <c r="O150" i="46"/>
  <c r="M150" i="46"/>
  <c r="J150" i="46"/>
  <c r="P149" i="46"/>
  <c r="O149" i="46"/>
  <c r="M149" i="46"/>
  <c r="J149" i="46"/>
  <c r="P148" i="46"/>
  <c r="O148" i="46"/>
  <c r="M148" i="46"/>
  <c r="J148" i="46"/>
  <c r="P147" i="46"/>
  <c r="O147" i="46"/>
  <c r="M147" i="46"/>
  <c r="J147" i="46"/>
  <c r="P146" i="46"/>
  <c r="O146" i="46"/>
  <c r="M146" i="46"/>
  <c r="J146" i="46"/>
  <c r="P145" i="46"/>
  <c r="O145" i="46"/>
  <c r="M145" i="46"/>
  <c r="J145" i="46"/>
  <c r="P144" i="46"/>
  <c r="O144" i="46"/>
  <c r="M144" i="46"/>
  <c r="J144" i="46"/>
  <c r="P143" i="46"/>
  <c r="O143" i="46"/>
  <c r="M143" i="46"/>
  <c r="J143" i="46"/>
  <c r="P142" i="46"/>
  <c r="O142" i="46"/>
  <c r="M142" i="46"/>
  <c r="J142" i="46"/>
  <c r="P141" i="46"/>
  <c r="O141" i="46"/>
  <c r="M141" i="46"/>
  <c r="J141" i="46"/>
  <c r="P140" i="46"/>
  <c r="O140" i="46"/>
  <c r="M140" i="46"/>
  <c r="J140" i="46"/>
  <c r="P139" i="46"/>
  <c r="O139" i="46"/>
  <c r="M139" i="46"/>
  <c r="J139" i="46"/>
  <c r="P138" i="46"/>
  <c r="O138" i="46"/>
  <c r="M138" i="46"/>
  <c r="J138" i="46"/>
  <c r="P137" i="46"/>
  <c r="O137" i="46"/>
  <c r="M137" i="46"/>
  <c r="J137" i="46"/>
  <c r="P136" i="46"/>
  <c r="O136" i="46"/>
  <c r="M136" i="46"/>
  <c r="J136" i="46"/>
  <c r="P135" i="46"/>
  <c r="O135" i="46"/>
  <c r="M135" i="46"/>
  <c r="J135" i="46"/>
  <c r="P134" i="46"/>
  <c r="O134" i="46"/>
  <c r="M134" i="46"/>
  <c r="J134" i="46"/>
  <c r="P133" i="46"/>
  <c r="O133" i="46"/>
  <c r="M133" i="46"/>
  <c r="J133" i="46"/>
  <c r="P132" i="46"/>
  <c r="O132" i="46"/>
  <c r="M132" i="46"/>
  <c r="J132" i="46"/>
  <c r="P131" i="46"/>
  <c r="O131" i="46"/>
  <c r="M131" i="46"/>
  <c r="J131" i="46"/>
  <c r="O130" i="46"/>
  <c r="M130" i="46"/>
  <c r="O129" i="46"/>
  <c r="M129" i="46"/>
  <c r="O128" i="46"/>
  <c r="M128" i="46"/>
  <c r="O127" i="46"/>
  <c r="M127" i="46"/>
  <c r="O126" i="46"/>
  <c r="M126" i="46"/>
  <c r="O125" i="46"/>
  <c r="M125" i="46"/>
  <c r="O124" i="46"/>
  <c r="M124" i="46"/>
  <c r="O123" i="46"/>
  <c r="M123" i="46"/>
  <c r="O122" i="46"/>
  <c r="M122" i="46"/>
  <c r="O121" i="46"/>
  <c r="M121" i="46"/>
  <c r="O120" i="46"/>
  <c r="M120" i="46"/>
  <c r="O119" i="46"/>
  <c r="M119" i="46"/>
  <c r="O118" i="46"/>
  <c r="M118" i="46"/>
  <c r="O117" i="46"/>
  <c r="M117" i="46"/>
  <c r="O116" i="46"/>
  <c r="M116" i="46"/>
  <c r="O115" i="46"/>
  <c r="M115" i="46"/>
  <c r="O114" i="46"/>
  <c r="M114" i="46"/>
  <c r="O113" i="46"/>
  <c r="M113" i="46"/>
  <c r="O112" i="46"/>
  <c r="M112" i="46"/>
  <c r="O111" i="46"/>
  <c r="M111" i="46"/>
  <c r="O110" i="46"/>
  <c r="M110" i="46"/>
  <c r="O109" i="46"/>
  <c r="M109" i="46"/>
  <c r="O108" i="46"/>
  <c r="M108" i="46"/>
  <c r="O107" i="46"/>
  <c r="M107" i="46"/>
  <c r="O106" i="46"/>
  <c r="M106" i="46"/>
  <c r="O105" i="46"/>
  <c r="M105" i="46"/>
  <c r="O104" i="46"/>
  <c r="M104" i="46"/>
  <c r="O103" i="46"/>
  <c r="M103" i="46"/>
  <c r="O102" i="46"/>
  <c r="M102" i="46"/>
  <c r="O101" i="46"/>
  <c r="M101" i="46"/>
  <c r="O100" i="46"/>
  <c r="M100" i="46"/>
  <c r="O99" i="46"/>
  <c r="M99" i="46"/>
  <c r="D96" i="46"/>
  <c r="L93" i="46"/>
  <c r="J93" i="46"/>
  <c r="J92" i="46"/>
  <c r="D91" i="46"/>
  <c r="D90" i="46"/>
  <c r="D89" i="46"/>
  <c r="N72" i="46"/>
  <c r="L72" i="46"/>
  <c r="N71" i="46"/>
  <c r="L71" i="46"/>
  <c r="N70" i="46"/>
  <c r="L70" i="46"/>
  <c r="N69" i="46"/>
  <c r="L69" i="46"/>
  <c r="N68" i="46"/>
  <c r="L68" i="46"/>
  <c r="N67" i="46"/>
  <c r="L67" i="46"/>
  <c r="N66" i="46"/>
  <c r="L66" i="46"/>
  <c r="N65" i="46"/>
  <c r="L65" i="46"/>
  <c r="N64" i="46"/>
  <c r="L64" i="46"/>
  <c r="N63" i="46"/>
  <c r="L63" i="46"/>
  <c r="N62" i="46"/>
  <c r="L62" i="46"/>
  <c r="N61" i="46"/>
  <c r="L61" i="46"/>
  <c r="N60" i="46"/>
  <c r="L60" i="46"/>
  <c r="N59" i="46"/>
  <c r="L59" i="46"/>
  <c r="N58" i="46"/>
  <c r="L58" i="46"/>
  <c r="N57" i="46"/>
  <c r="L57" i="46"/>
  <c r="N56" i="46"/>
  <c r="L56" i="46"/>
  <c r="N55" i="46"/>
  <c r="L55" i="46"/>
  <c r="N54" i="46"/>
  <c r="L54" i="46"/>
  <c r="N53" i="46"/>
  <c r="L53" i="46"/>
  <c r="N52" i="46"/>
  <c r="L52" i="46"/>
  <c r="N51" i="46"/>
  <c r="L51" i="46"/>
  <c r="N50" i="46"/>
  <c r="L50" i="46"/>
  <c r="N49" i="46"/>
  <c r="L49" i="46"/>
  <c r="N48" i="46"/>
  <c r="L48" i="46"/>
  <c r="N47" i="46"/>
  <c r="L47" i="46"/>
  <c r="N46" i="46"/>
  <c r="L46" i="46"/>
  <c r="N45" i="46"/>
  <c r="L45" i="46"/>
  <c r="N44" i="46"/>
  <c r="L44" i="46"/>
  <c r="N43" i="46"/>
  <c r="L43" i="46"/>
  <c r="N42" i="46"/>
  <c r="L42" i="46"/>
  <c r="N41" i="46"/>
  <c r="L41" i="46"/>
  <c r="N40" i="46"/>
  <c r="L40" i="46"/>
  <c r="N39" i="46"/>
  <c r="L39" i="46"/>
  <c r="N38" i="46"/>
  <c r="L38" i="46"/>
  <c r="N37" i="46"/>
  <c r="L37" i="46"/>
  <c r="N36" i="46"/>
  <c r="L36" i="46"/>
  <c r="N35" i="46"/>
  <c r="L35" i="46"/>
  <c r="N34" i="46"/>
  <c r="L34" i="46"/>
  <c r="N33" i="46"/>
  <c r="L33" i="46"/>
  <c r="N32" i="46"/>
  <c r="L32" i="46"/>
  <c r="N31" i="46"/>
  <c r="L31" i="46"/>
  <c r="N30" i="46"/>
  <c r="L30" i="46"/>
  <c r="N29" i="46"/>
  <c r="L29" i="46"/>
  <c r="N28" i="46"/>
  <c r="L28" i="46"/>
  <c r="N27" i="46"/>
  <c r="L27" i="46"/>
  <c r="N26" i="46"/>
  <c r="L26" i="46"/>
  <c r="N25" i="46"/>
  <c r="L25" i="46"/>
  <c r="N24" i="46"/>
  <c r="L24" i="46"/>
  <c r="N23" i="46"/>
  <c r="L23" i="46"/>
  <c r="N22" i="46"/>
  <c r="L22" i="46"/>
  <c r="N21" i="46"/>
  <c r="L21" i="46"/>
  <c r="N20" i="46"/>
  <c r="L20" i="46"/>
  <c r="N19" i="46"/>
  <c r="L19" i="46"/>
  <c r="N18" i="46"/>
  <c r="L18" i="46"/>
  <c r="C17" i="46"/>
  <c r="C18" i="46" s="1"/>
  <c r="C19" i="46" s="1"/>
  <c r="C20" i="46" s="1"/>
  <c r="C21" i="46" s="1"/>
  <c r="C22" i="46" s="1"/>
  <c r="C23" i="46" s="1"/>
  <c r="C24" i="46" s="1"/>
  <c r="C25" i="46" s="1"/>
  <c r="C26" i="46" s="1"/>
  <c r="C27" i="46" s="1"/>
  <c r="C28" i="46" s="1"/>
  <c r="C29" i="46" s="1"/>
  <c r="C30" i="46" s="1"/>
  <c r="C31" i="46" s="1"/>
  <c r="C32" i="46" s="1"/>
  <c r="C33" i="46" s="1"/>
  <c r="C34" i="46" s="1"/>
  <c r="C35" i="46" s="1"/>
  <c r="C36" i="46" s="1"/>
  <c r="C37" i="46" s="1"/>
  <c r="C38" i="46" s="1"/>
  <c r="C39" i="46" s="1"/>
  <c r="C40" i="46" s="1"/>
  <c r="C41" i="46" s="1"/>
  <c r="C42" i="46" s="1"/>
  <c r="C43" i="46" s="1"/>
  <c r="C44" i="46" s="1"/>
  <c r="C45" i="46" s="1"/>
  <c r="C46" i="46" s="1"/>
  <c r="C47" i="46" s="1"/>
  <c r="C48" i="46" s="1"/>
  <c r="C49" i="46" s="1"/>
  <c r="C50" i="46" s="1"/>
  <c r="C51" i="46" s="1"/>
  <c r="C52" i="46" s="1"/>
  <c r="C53" i="46" s="1"/>
  <c r="C54" i="46" s="1"/>
  <c r="C55" i="46" s="1"/>
  <c r="C56" i="46" s="1"/>
  <c r="C57" i="46" s="1"/>
  <c r="C58" i="46" s="1"/>
  <c r="C59" i="46" s="1"/>
  <c r="C60" i="46" s="1"/>
  <c r="C61" i="46" s="1"/>
  <c r="C62" i="46" s="1"/>
  <c r="C63" i="46" s="1"/>
  <c r="C64" i="46" s="1"/>
  <c r="C65" i="46" s="1"/>
  <c r="C66" i="46" s="1"/>
  <c r="C67" i="46" s="1"/>
  <c r="C68" i="46" s="1"/>
  <c r="C69" i="46" s="1"/>
  <c r="C70" i="46" s="1"/>
  <c r="C71" i="46" s="1"/>
  <c r="C72" i="46" s="1"/>
  <c r="K11" i="46"/>
  <c r="I11" i="46"/>
  <c r="P1" i="46"/>
  <c r="P83" i="46" s="1"/>
  <c r="M18" i="42"/>
  <c r="N18" i="42" s="1"/>
  <c r="O18" i="42" s="1"/>
  <c r="K18" i="42"/>
  <c r="L18" i="42" s="1"/>
  <c r="O23" i="46" l="1"/>
  <c r="O35" i="46"/>
  <c r="O43" i="46"/>
  <c r="O71" i="46"/>
  <c r="O21" i="46"/>
  <c r="O31" i="46"/>
  <c r="O59" i="46"/>
  <c r="O36" i="46"/>
  <c r="O40" i="46"/>
  <c r="O64" i="46"/>
  <c r="O19" i="46"/>
  <c r="P115" i="46"/>
  <c r="P102" i="46"/>
  <c r="P106" i="46"/>
  <c r="P110" i="46"/>
  <c r="P124" i="46"/>
  <c r="P128" i="46"/>
  <c r="P130" i="46"/>
  <c r="O38" i="46"/>
  <c r="O46" i="46"/>
  <c r="O54" i="46"/>
  <c r="O68" i="46"/>
  <c r="P100" i="46"/>
  <c r="P104" i="46"/>
  <c r="P108" i="46"/>
  <c r="P112" i="46"/>
  <c r="P122" i="46"/>
  <c r="P126" i="46"/>
  <c r="O20" i="46"/>
  <c r="O30" i="46"/>
  <c r="O39" i="46"/>
  <c r="O62" i="46"/>
  <c r="O27" i="46"/>
  <c r="O34" i="46"/>
  <c r="O47" i="46"/>
  <c r="O51" i="46"/>
  <c r="O55" i="46"/>
  <c r="O70" i="46"/>
  <c r="O72" i="46"/>
  <c r="O22" i="46"/>
  <c r="O48" i="46"/>
  <c r="O56" i="46"/>
  <c r="O63" i="46"/>
  <c r="O18" i="46"/>
  <c r="O25" i="46"/>
  <c r="O32" i="46"/>
  <c r="O42" i="46"/>
  <c r="O44" i="46"/>
  <c r="O49" i="46"/>
  <c r="O58" i="46"/>
  <c r="O60" i="46"/>
  <c r="O65" i="46"/>
  <c r="O67" i="46"/>
  <c r="O24" i="46"/>
  <c r="O26" i="46"/>
  <c r="O28" i="46"/>
  <c r="O41" i="46"/>
  <c r="O50" i="46"/>
  <c r="O52" i="46"/>
  <c r="P99" i="46"/>
  <c r="P101" i="46"/>
  <c r="P119" i="46"/>
  <c r="P121" i="46"/>
  <c r="P123" i="46"/>
  <c r="P125" i="46"/>
  <c r="P127" i="46"/>
  <c r="P129" i="46"/>
  <c r="P116" i="46"/>
  <c r="P117" i="46"/>
  <c r="P103" i="46"/>
  <c r="P105" i="46"/>
  <c r="P107" i="46"/>
  <c r="P109" i="46"/>
  <c r="P111" i="46"/>
  <c r="P113" i="46"/>
  <c r="P118" i="46"/>
  <c r="P114" i="46"/>
  <c r="O29" i="46"/>
  <c r="O37" i="46"/>
  <c r="O53" i="46"/>
  <c r="O57" i="46"/>
  <c r="O33" i="46"/>
  <c r="O45" i="46"/>
  <c r="O61" i="46"/>
  <c r="N88" i="46"/>
  <c r="M87" i="46"/>
  <c r="M88" i="46"/>
  <c r="L86" i="46"/>
  <c r="O66" i="46"/>
  <c r="O69" i="46"/>
  <c r="N87" i="46"/>
  <c r="P120" i="46"/>
  <c r="N17" i="45"/>
  <c r="M17" i="45"/>
  <c r="K17" i="45"/>
  <c r="L17" i="45" s="1"/>
  <c r="M17" i="44"/>
  <c r="N17" i="44" s="1"/>
  <c r="K17" i="44"/>
  <c r="L17" i="44" s="1"/>
  <c r="M18" i="43"/>
  <c r="N18" i="43" s="1"/>
  <c r="K18" i="43"/>
  <c r="L18" i="43" s="1"/>
  <c r="M18" i="41"/>
  <c r="N18" i="41" s="1"/>
  <c r="L18" i="41"/>
  <c r="K18" i="41"/>
  <c r="M18" i="40"/>
  <c r="N18" i="40" s="1"/>
  <c r="K18" i="40"/>
  <c r="L18" i="40" s="1"/>
  <c r="N99" i="39"/>
  <c r="O99" i="39" s="1"/>
  <c r="L99" i="39"/>
  <c r="M99" i="39" s="1"/>
  <c r="M19" i="39"/>
  <c r="N19" i="39" s="1"/>
  <c r="O19" i="39" s="1"/>
  <c r="K19" i="39"/>
  <c r="L19" i="39" s="1"/>
  <c r="M19" i="38"/>
  <c r="N19" i="38" s="1"/>
  <c r="K19" i="38"/>
  <c r="L19" i="38" s="1"/>
  <c r="N99" i="37"/>
  <c r="O99" i="37" s="1"/>
  <c r="L99" i="37"/>
  <c r="M99" i="37" s="1"/>
  <c r="M19" i="37"/>
  <c r="N19" i="37" s="1"/>
  <c r="K19" i="37"/>
  <c r="L19" i="37" s="1"/>
  <c r="N102" i="31"/>
  <c r="O102" i="31" s="1"/>
  <c r="M102" i="31"/>
  <c r="L102" i="31"/>
  <c r="M22" i="31"/>
  <c r="N22" i="31" s="1"/>
  <c r="K22" i="31"/>
  <c r="L22" i="31" s="1"/>
  <c r="N101" i="30"/>
  <c r="O101" i="30" s="1"/>
  <c r="L101" i="30"/>
  <c r="M101" i="30" s="1"/>
  <c r="M21" i="30"/>
  <c r="N21" i="30" s="1"/>
  <c r="K21" i="30"/>
  <c r="L21" i="30" s="1"/>
  <c r="N102" i="29"/>
  <c r="O102" i="29" s="1"/>
  <c r="L102" i="29"/>
  <c r="M102" i="29" s="1"/>
  <c r="M22" i="29"/>
  <c r="N22" i="29" s="1"/>
  <c r="K22" i="29"/>
  <c r="L22" i="29" s="1"/>
  <c r="N102" i="28"/>
  <c r="O102" i="28" s="1"/>
  <c r="L102" i="28"/>
  <c r="M102" i="28" s="1"/>
  <c r="M22" i="28"/>
  <c r="N22" i="28" s="1"/>
  <c r="K22" i="28"/>
  <c r="L22" i="28" s="1"/>
  <c r="N103" i="27"/>
  <c r="O103" i="27" s="1"/>
  <c r="L103" i="27"/>
  <c r="M103" i="27" s="1"/>
  <c r="M23" i="27"/>
  <c r="N23" i="27" s="1"/>
  <c r="K23" i="27"/>
  <c r="L23" i="27" s="1"/>
  <c r="O87" i="46" l="1"/>
  <c r="P99" i="39"/>
  <c r="O18" i="41"/>
  <c r="O19" i="38"/>
  <c r="O19" i="37"/>
  <c r="M89" i="46"/>
  <c r="N89" i="46"/>
  <c r="O88" i="46"/>
  <c r="O89" i="46" s="1"/>
  <c r="O17" i="45"/>
  <c r="O17" i="44"/>
  <c r="O18" i="43"/>
  <c r="O18" i="40"/>
  <c r="P99" i="37"/>
  <c r="O22" i="31"/>
  <c r="P102" i="31"/>
  <c r="O21" i="30"/>
  <c r="P101" i="30"/>
  <c r="O22" i="29"/>
  <c r="P102" i="29"/>
  <c r="O22" i="28"/>
  <c r="P102" i="28"/>
  <c r="O23" i="27"/>
  <c r="P103" i="27"/>
  <c r="N106" i="25"/>
  <c r="O106" i="25" s="1"/>
  <c r="L106" i="25"/>
  <c r="M106" i="25" s="1"/>
  <c r="M26" i="25"/>
  <c r="N26" i="25" s="1"/>
  <c r="K26" i="25"/>
  <c r="L26" i="25" s="1"/>
  <c r="N104" i="24"/>
  <c r="O104" i="24" s="1"/>
  <c r="M104" i="24"/>
  <c r="L104" i="24"/>
  <c r="M24" i="24"/>
  <c r="N24" i="24" s="1"/>
  <c r="K24" i="24"/>
  <c r="L24" i="24" s="1"/>
  <c r="N105" i="23"/>
  <c r="O105" i="23" s="1"/>
  <c r="L105" i="23"/>
  <c r="M105" i="23" s="1"/>
  <c r="M25" i="23"/>
  <c r="N25" i="23" s="1"/>
  <c r="K25" i="23"/>
  <c r="L25" i="23" s="1"/>
  <c r="N106" i="22"/>
  <c r="O106" i="22" s="1"/>
  <c r="L106" i="22"/>
  <c r="M106" i="22" s="1"/>
  <c r="M26" i="22"/>
  <c r="N26" i="22" s="1"/>
  <c r="K26" i="22"/>
  <c r="L26" i="22" s="1"/>
  <c r="N109" i="11"/>
  <c r="O109" i="11" s="1"/>
  <c r="L109" i="11"/>
  <c r="M109" i="11" s="1"/>
  <c r="M29" i="11"/>
  <c r="N29" i="11" s="1"/>
  <c r="K29" i="11"/>
  <c r="L29" i="11" s="1"/>
  <c r="N110" i="10"/>
  <c r="O110" i="10" s="1"/>
  <c r="L110" i="10"/>
  <c r="M110" i="10" s="1"/>
  <c r="M30" i="10"/>
  <c r="N30" i="10" s="1"/>
  <c r="K30" i="10"/>
  <c r="L30" i="10" s="1"/>
  <c r="N109" i="9"/>
  <c r="O109" i="9" s="1"/>
  <c r="L109" i="9"/>
  <c r="M109" i="9" s="1"/>
  <c r="M29" i="9"/>
  <c r="N29" i="9" s="1"/>
  <c r="K29" i="9"/>
  <c r="L29" i="9" s="1"/>
  <c r="N108" i="8"/>
  <c r="O108" i="8" s="1"/>
  <c r="L108" i="8"/>
  <c r="M108" i="8" s="1"/>
  <c r="M28" i="8"/>
  <c r="N28" i="8" s="1"/>
  <c r="K28" i="8"/>
  <c r="L28" i="8" s="1"/>
  <c r="N110" i="7"/>
  <c r="O110" i="7" s="1"/>
  <c r="L110" i="7"/>
  <c r="M110" i="7" s="1"/>
  <c r="M30" i="7"/>
  <c r="N30" i="7" s="1"/>
  <c r="K30" i="7"/>
  <c r="L30" i="7" s="1"/>
  <c r="N108" i="6"/>
  <c r="O108" i="6" s="1"/>
  <c r="L108" i="6"/>
  <c r="M108" i="6" s="1"/>
  <c r="M28" i="6"/>
  <c r="N28" i="6" s="1"/>
  <c r="K28" i="6"/>
  <c r="L28" i="6" s="1"/>
  <c r="N107" i="5"/>
  <c r="O107" i="5" s="1"/>
  <c r="L107" i="5"/>
  <c r="M107" i="5" s="1"/>
  <c r="M27" i="5"/>
  <c r="N27" i="5" s="1"/>
  <c r="O27" i="5" s="1"/>
  <c r="L27" i="5"/>
  <c r="K27" i="5"/>
  <c r="N107" i="4"/>
  <c r="O107" i="4" s="1"/>
  <c r="L107" i="4"/>
  <c r="M107" i="4" s="1"/>
  <c r="M27" i="4"/>
  <c r="N27" i="4" s="1"/>
  <c r="K27" i="4"/>
  <c r="L27" i="4" s="1"/>
  <c r="N107" i="3"/>
  <c r="O107" i="3" s="1"/>
  <c r="L107" i="3"/>
  <c r="M107" i="3" s="1"/>
  <c r="M27" i="3"/>
  <c r="N27" i="3" s="1"/>
  <c r="K27" i="3"/>
  <c r="L27" i="3" s="1"/>
  <c r="O26" i="25" l="1"/>
  <c r="P106" i="25"/>
  <c r="O24" i="24"/>
  <c r="P104" i="24"/>
  <c r="P105" i="23"/>
  <c r="P106" i="22"/>
  <c r="O29" i="11"/>
  <c r="P109" i="11"/>
  <c r="O30" i="10"/>
  <c r="P110" i="10"/>
  <c r="P109" i="9"/>
  <c r="P108" i="8"/>
  <c r="P110" i="7"/>
  <c r="O30" i="7"/>
  <c r="O28" i="6"/>
  <c r="P108" i="6"/>
  <c r="P107" i="5"/>
  <c r="P107" i="3"/>
  <c r="O27" i="3"/>
  <c r="P107" i="4"/>
  <c r="O27" i="4"/>
  <c r="AB47" i="17" l="1"/>
  <c r="F86" i="1" l="1"/>
  <c r="F58" i="1"/>
  <c r="F44" i="1"/>
  <c r="E31" i="1"/>
  <c r="D18" i="1"/>
  <c r="F12" i="1"/>
  <c r="P44" i="17"/>
  <c r="W44" i="17"/>
  <c r="W43" i="17"/>
  <c r="P43" i="17"/>
  <c r="P154" i="45"/>
  <c r="O154" i="45"/>
  <c r="M154" i="45"/>
  <c r="J154" i="45"/>
  <c r="P153" i="45"/>
  <c r="O153" i="45"/>
  <c r="M153" i="45"/>
  <c r="J153" i="45"/>
  <c r="P152" i="45"/>
  <c r="O152" i="45"/>
  <c r="M152" i="45"/>
  <c r="J152" i="45"/>
  <c r="P151" i="45"/>
  <c r="O151" i="45"/>
  <c r="M151" i="45"/>
  <c r="J151" i="45"/>
  <c r="P150" i="45"/>
  <c r="O150" i="45"/>
  <c r="M150" i="45"/>
  <c r="J150" i="45"/>
  <c r="P149" i="45"/>
  <c r="O149" i="45"/>
  <c r="M149" i="45"/>
  <c r="J149" i="45"/>
  <c r="P148" i="45"/>
  <c r="O148" i="45"/>
  <c r="M148" i="45"/>
  <c r="J148" i="45"/>
  <c r="P147" i="45"/>
  <c r="O147" i="45"/>
  <c r="M147" i="45"/>
  <c r="J147" i="45"/>
  <c r="P146" i="45"/>
  <c r="O146" i="45"/>
  <c r="M146" i="45"/>
  <c r="J146" i="45"/>
  <c r="P145" i="45"/>
  <c r="O145" i="45"/>
  <c r="M145" i="45"/>
  <c r="J145" i="45"/>
  <c r="P144" i="45"/>
  <c r="O144" i="45"/>
  <c r="M144" i="45"/>
  <c r="J144" i="45"/>
  <c r="P143" i="45"/>
  <c r="O143" i="45"/>
  <c r="M143" i="45"/>
  <c r="J143" i="45"/>
  <c r="P142" i="45"/>
  <c r="O142" i="45"/>
  <c r="M142" i="45"/>
  <c r="J142" i="45"/>
  <c r="P141" i="45"/>
  <c r="O141" i="45"/>
  <c r="M141" i="45"/>
  <c r="J141" i="45"/>
  <c r="P140" i="45"/>
  <c r="O140" i="45"/>
  <c r="M140" i="45"/>
  <c r="J140" i="45"/>
  <c r="P139" i="45"/>
  <c r="O139" i="45"/>
  <c r="M139" i="45"/>
  <c r="J139" i="45"/>
  <c r="P138" i="45"/>
  <c r="O138" i="45"/>
  <c r="M138" i="45"/>
  <c r="J138" i="45"/>
  <c r="P137" i="45"/>
  <c r="O137" i="45"/>
  <c r="M137" i="45"/>
  <c r="J137" i="45"/>
  <c r="P136" i="45"/>
  <c r="O136" i="45"/>
  <c r="M136" i="45"/>
  <c r="J136" i="45"/>
  <c r="P135" i="45"/>
  <c r="O135" i="45"/>
  <c r="M135" i="45"/>
  <c r="J135" i="45"/>
  <c r="P134" i="45"/>
  <c r="O134" i="45"/>
  <c r="M134" i="45"/>
  <c r="J134" i="45"/>
  <c r="P133" i="45"/>
  <c r="O133" i="45"/>
  <c r="M133" i="45"/>
  <c r="J133" i="45"/>
  <c r="P132" i="45"/>
  <c r="O132" i="45"/>
  <c r="M132" i="45"/>
  <c r="J132" i="45"/>
  <c r="P131" i="45"/>
  <c r="O131" i="45"/>
  <c r="M131" i="45"/>
  <c r="J131" i="45"/>
  <c r="O130" i="45"/>
  <c r="M130" i="45"/>
  <c r="O129" i="45"/>
  <c r="M129" i="45"/>
  <c r="O128" i="45"/>
  <c r="M128" i="45"/>
  <c r="O127" i="45"/>
  <c r="M127" i="45"/>
  <c r="O126" i="45"/>
  <c r="M126" i="45"/>
  <c r="O125" i="45"/>
  <c r="M125" i="45"/>
  <c r="O124" i="45"/>
  <c r="M124" i="45"/>
  <c r="O123" i="45"/>
  <c r="M123" i="45"/>
  <c r="O122" i="45"/>
  <c r="M122" i="45"/>
  <c r="O121" i="45"/>
  <c r="M121" i="45"/>
  <c r="O120" i="45"/>
  <c r="M120" i="45"/>
  <c r="O119" i="45"/>
  <c r="M119" i="45"/>
  <c r="O118" i="45"/>
  <c r="M118" i="45"/>
  <c r="O117" i="45"/>
  <c r="M117" i="45"/>
  <c r="O116" i="45"/>
  <c r="M116" i="45"/>
  <c r="O115" i="45"/>
  <c r="M115" i="45"/>
  <c r="O114" i="45"/>
  <c r="M114" i="45"/>
  <c r="O113" i="45"/>
  <c r="M113" i="45"/>
  <c r="O112" i="45"/>
  <c r="M112" i="45"/>
  <c r="O111" i="45"/>
  <c r="M111" i="45"/>
  <c r="O110" i="45"/>
  <c r="M110" i="45"/>
  <c r="O109" i="45"/>
  <c r="M109" i="45"/>
  <c r="O108" i="45"/>
  <c r="M108" i="45"/>
  <c r="O107" i="45"/>
  <c r="M107" i="45"/>
  <c r="O106" i="45"/>
  <c r="M106" i="45"/>
  <c r="O105" i="45"/>
  <c r="M105" i="45"/>
  <c r="O104" i="45"/>
  <c r="M104" i="45"/>
  <c r="O103" i="45"/>
  <c r="M103" i="45"/>
  <c r="O102" i="45"/>
  <c r="M102" i="45"/>
  <c r="O101" i="45"/>
  <c r="M101" i="45"/>
  <c r="O100" i="45"/>
  <c r="M100" i="45"/>
  <c r="O99" i="45"/>
  <c r="M99" i="45"/>
  <c r="D96" i="45"/>
  <c r="L93" i="45"/>
  <c r="J93" i="45"/>
  <c r="D91" i="45"/>
  <c r="D90" i="45"/>
  <c r="D89" i="45"/>
  <c r="N72" i="45"/>
  <c r="L72" i="45"/>
  <c r="N71" i="45"/>
  <c r="L71" i="45"/>
  <c r="N70" i="45"/>
  <c r="L70" i="45"/>
  <c r="N69" i="45"/>
  <c r="L69" i="45"/>
  <c r="N68" i="45"/>
  <c r="L68" i="45"/>
  <c r="N67" i="45"/>
  <c r="L67" i="45"/>
  <c r="N66" i="45"/>
  <c r="L66" i="45"/>
  <c r="N65" i="45"/>
  <c r="L65" i="45"/>
  <c r="N64" i="45"/>
  <c r="L64" i="45"/>
  <c r="N63" i="45"/>
  <c r="L63" i="45"/>
  <c r="N62" i="45"/>
  <c r="L62" i="45"/>
  <c r="N61" i="45"/>
  <c r="L61" i="45"/>
  <c r="N60" i="45"/>
  <c r="L60" i="45"/>
  <c r="N59" i="45"/>
  <c r="L59" i="45"/>
  <c r="N58" i="45"/>
  <c r="L58" i="45"/>
  <c r="N57" i="45"/>
  <c r="L57" i="45"/>
  <c r="N56" i="45"/>
  <c r="L56" i="45"/>
  <c r="N55" i="45"/>
  <c r="L55" i="45"/>
  <c r="N54" i="45"/>
  <c r="L54" i="45"/>
  <c r="N53" i="45"/>
  <c r="L53" i="45"/>
  <c r="N52" i="45"/>
  <c r="L52" i="45"/>
  <c r="N51" i="45"/>
  <c r="L51" i="45"/>
  <c r="N50" i="45"/>
  <c r="L50" i="45"/>
  <c r="N49" i="45"/>
  <c r="L49" i="45"/>
  <c r="N48" i="45"/>
  <c r="L48" i="45"/>
  <c r="O48" i="45" s="1"/>
  <c r="N47" i="45"/>
  <c r="L47" i="45"/>
  <c r="N46" i="45"/>
  <c r="L46" i="45"/>
  <c r="N45" i="45"/>
  <c r="L45" i="45"/>
  <c r="N44" i="45"/>
  <c r="L44" i="45"/>
  <c r="O44" i="45" s="1"/>
  <c r="N43" i="45"/>
  <c r="L43" i="45"/>
  <c r="N42" i="45"/>
  <c r="L42" i="45"/>
  <c r="N41" i="45"/>
  <c r="L41" i="45"/>
  <c r="N40" i="45"/>
  <c r="L40" i="45"/>
  <c r="N39" i="45"/>
  <c r="L39" i="45"/>
  <c r="N38" i="45"/>
  <c r="L38" i="45"/>
  <c r="N37" i="45"/>
  <c r="L37" i="45"/>
  <c r="N36" i="45"/>
  <c r="L36" i="45"/>
  <c r="N35" i="45"/>
  <c r="L35" i="45"/>
  <c r="N34" i="45"/>
  <c r="L34" i="45"/>
  <c r="N33" i="45"/>
  <c r="L33" i="45"/>
  <c r="N32" i="45"/>
  <c r="L32" i="45"/>
  <c r="N31" i="45"/>
  <c r="L31" i="45"/>
  <c r="N30" i="45"/>
  <c r="L30" i="45"/>
  <c r="N29" i="45"/>
  <c r="L29" i="45"/>
  <c r="N28" i="45"/>
  <c r="L28" i="45"/>
  <c r="N27" i="45"/>
  <c r="L27" i="45"/>
  <c r="N26" i="45"/>
  <c r="L26" i="45"/>
  <c r="N25" i="45"/>
  <c r="L25" i="45"/>
  <c r="N24" i="45"/>
  <c r="L24" i="45"/>
  <c r="N23" i="45"/>
  <c r="L23" i="45"/>
  <c r="N22" i="45"/>
  <c r="L22" i="45"/>
  <c r="O22" i="45" s="1"/>
  <c r="N21" i="45"/>
  <c r="L21" i="45"/>
  <c r="N20" i="45"/>
  <c r="L20" i="45"/>
  <c r="N19" i="45"/>
  <c r="L19" i="45"/>
  <c r="N18" i="45"/>
  <c r="L18" i="45"/>
  <c r="C17" i="45"/>
  <c r="K11" i="45"/>
  <c r="I11" i="45"/>
  <c r="P1" i="45"/>
  <c r="P83" i="45" s="1"/>
  <c r="P154" i="44"/>
  <c r="O154" i="44"/>
  <c r="M154" i="44"/>
  <c r="J154" i="44"/>
  <c r="P153" i="44"/>
  <c r="O153" i="44"/>
  <c r="M153" i="44"/>
  <c r="J153" i="44"/>
  <c r="P152" i="44"/>
  <c r="O152" i="44"/>
  <c r="M152" i="44"/>
  <c r="J152" i="44"/>
  <c r="P151" i="44"/>
  <c r="O151" i="44"/>
  <c r="M151" i="44"/>
  <c r="J151" i="44"/>
  <c r="P150" i="44"/>
  <c r="O150" i="44"/>
  <c r="M150" i="44"/>
  <c r="J150" i="44"/>
  <c r="P149" i="44"/>
  <c r="O149" i="44"/>
  <c r="M149" i="44"/>
  <c r="J149" i="44"/>
  <c r="P148" i="44"/>
  <c r="O148" i="44"/>
  <c r="M148" i="44"/>
  <c r="J148" i="44"/>
  <c r="P147" i="44"/>
  <c r="O147" i="44"/>
  <c r="M147" i="44"/>
  <c r="J147" i="44"/>
  <c r="P146" i="44"/>
  <c r="O146" i="44"/>
  <c r="M146" i="44"/>
  <c r="J146" i="44"/>
  <c r="P145" i="44"/>
  <c r="O145" i="44"/>
  <c r="M145" i="44"/>
  <c r="J145" i="44"/>
  <c r="P144" i="44"/>
  <c r="O144" i="44"/>
  <c r="M144" i="44"/>
  <c r="J144" i="44"/>
  <c r="P143" i="44"/>
  <c r="O143" i="44"/>
  <c r="M143" i="44"/>
  <c r="J143" i="44"/>
  <c r="P142" i="44"/>
  <c r="O142" i="44"/>
  <c r="M142" i="44"/>
  <c r="J142" i="44"/>
  <c r="P141" i="44"/>
  <c r="O141" i="44"/>
  <c r="M141" i="44"/>
  <c r="J141" i="44"/>
  <c r="P140" i="44"/>
  <c r="O140" i="44"/>
  <c r="M140" i="44"/>
  <c r="J140" i="44"/>
  <c r="P139" i="44"/>
  <c r="O139" i="44"/>
  <c r="M139" i="44"/>
  <c r="J139" i="44"/>
  <c r="P138" i="44"/>
  <c r="O138" i="44"/>
  <c r="M138" i="44"/>
  <c r="J138" i="44"/>
  <c r="P137" i="44"/>
  <c r="O137" i="44"/>
  <c r="M137" i="44"/>
  <c r="J137" i="44"/>
  <c r="P136" i="44"/>
  <c r="O136" i="44"/>
  <c r="M136" i="44"/>
  <c r="J136" i="44"/>
  <c r="P135" i="44"/>
  <c r="O135" i="44"/>
  <c r="M135" i="44"/>
  <c r="J135" i="44"/>
  <c r="P134" i="44"/>
  <c r="O134" i="44"/>
  <c r="M134" i="44"/>
  <c r="J134" i="44"/>
  <c r="P133" i="44"/>
  <c r="O133" i="44"/>
  <c r="M133" i="44"/>
  <c r="J133" i="44"/>
  <c r="P132" i="44"/>
  <c r="O132" i="44"/>
  <c r="M132" i="44"/>
  <c r="J132" i="44"/>
  <c r="P131" i="44"/>
  <c r="O131" i="44"/>
  <c r="M131" i="44"/>
  <c r="J131" i="44"/>
  <c r="O130" i="44"/>
  <c r="M130" i="44"/>
  <c r="O129" i="44"/>
  <c r="M129" i="44"/>
  <c r="O128" i="44"/>
  <c r="M128" i="44"/>
  <c r="O127" i="44"/>
  <c r="M127" i="44"/>
  <c r="O126" i="44"/>
  <c r="M126" i="44"/>
  <c r="O125" i="44"/>
  <c r="M125" i="44"/>
  <c r="O124" i="44"/>
  <c r="M124" i="44"/>
  <c r="O123" i="44"/>
  <c r="M123" i="44"/>
  <c r="O122" i="44"/>
  <c r="M122" i="44"/>
  <c r="O121" i="44"/>
  <c r="M121" i="44"/>
  <c r="O120" i="44"/>
  <c r="M120" i="44"/>
  <c r="O119" i="44"/>
  <c r="M119" i="44"/>
  <c r="O118" i="44"/>
  <c r="M118" i="44"/>
  <c r="O117" i="44"/>
  <c r="M117" i="44"/>
  <c r="O116" i="44"/>
  <c r="M116" i="44"/>
  <c r="O115" i="44"/>
  <c r="M115" i="44"/>
  <c r="O114" i="44"/>
  <c r="M114" i="44"/>
  <c r="O113" i="44"/>
  <c r="M113" i="44"/>
  <c r="O112" i="44"/>
  <c r="M112" i="44"/>
  <c r="O111" i="44"/>
  <c r="M111" i="44"/>
  <c r="O110" i="44"/>
  <c r="M110" i="44"/>
  <c r="O109" i="44"/>
  <c r="M109" i="44"/>
  <c r="O108" i="44"/>
  <c r="M108" i="44"/>
  <c r="O107" i="44"/>
  <c r="M107" i="44"/>
  <c r="O106" i="44"/>
  <c r="M106" i="44"/>
  <c r="O105" i="44"/>
  <c r="M105" i="44"/>
  <c r="O104" i="44"/>
  <c r="M104" i="44"/>
  <c r="O103" i="44"/>
  <c r="M103" i="44"/>
  <c r="O102" i="44"/>
  <c r="M102" i="44"/>
  <c r="O101" i="44"/>
  <c r="M101" i="44"/>
  <c r="O100" i="44"/>
  <c r="M100" i="44"/>
  <c r="O99" i="44"/>
  <c r="M99" i="44"/>
  <c r="D96" i="44"/>
  <c r="L93" i="44"/>
  <c r="J93" i="44"/>
  <c r="D91" i="44"/>
  <c r="D90" i="44"/>
  <c r="D89" i="44"/>
  <c r="N72" i="44"/>
  <c r="L72" i="44"/>
  <c r="N71" i="44"/>
  <c r="L71" i="44"/>
  <c r="N70" i="44"/>
  <c r="L70" i="44"/>
  <c r="N69" i="44"/>
  <c r="L69" i="44"/>
  <c r="N68" i="44"/>
  <c r="L68" i="44"/>
  <c r="N67" i="44"/>
  <c r="L67" i="44"/>
  <c r="N66" i="44"/>
  <c r="L66" i="44"/>
  <c r="N65" i="44"/>
  <c r="L65" i="44"/>
  <c r="N64" i="44"/>
  <c r="L64" i="44"/>
  <c r="N63" i="44"/>
  <c r="L63" i="44"/>
  <c r="N62" i="44"/>
  <c r="L62" i="44"/>
  <c r="N61" i="44"/>
  <c r="L61" i="44"/>
  <c r="N60" i="44"/>
  <c r="L60" i="44"/>
  <c r="N59" i="44"/>
  <c r="L59" i="44"/>
  <c r="N58" i="44"/>
  <c r="L58" i="44"/>
  <c r="N57" i="44"/>
  <c r="L57" i="44"/>
  <c r="N56" i="44"/>
  <c r="L56" i="44"/>
  <c r="N55" i="44"/>
  <c r="L55" i="44"/>
  <c r="N54" i="44"/>
  <c r="L54" i="44"/>
  <c r="N53" i="44"/>
  <c r="L53" i="44"/>
  <c r="N52" i="44"/>
  <c r="L52" i="44"/>
  <c r="N51" i="44"/>
  <c r="L51" i="44"/>
  <c r="N50" i="44"/>
  <c r="L50" i="44"/>
  <c r="N49" i="44"/>
  <c r="L49" i="44"/>
  <c r="N48" i="44"/>
  <c r="L48" i="44"/>
  <c r="N47" i="44"/>
  <c r="L47" i="44"/>
  <c r="N46" i="44"/>
  <c r="L46" i="44"/>
  <c r="N45" i="44"/>
  <c r="L45" i="44"/>
  <c r="N44" i="44"/>
  <c r="L44" i="44"/>
  <c r="N43" i="44"/>
  <c r="L43" i="44"/>
  <c r="N42" i="44"/>
  <c r="L42" i="44"/>
  <c r="N41" i="44"/>
  <c r="L41" i="44"/>
  <c r="N40" i="44"/>
  <c r="L40" i="44"/>
  <c r="N39" i="44"/>
  <c r="L39" i="44"/>
  <c r="N38" i="44"/>
  <c r="L38" i="44"/>
  <c r="N37" i="44"/>
  <c r="L37" i="44"/>
  <c r="N36" i="44"/>
  <c r="L36" i="44"/>
  <c r="N35" i="44"/>
  <c r="L35" i="44"/>
  <c r="N34" i="44"/>
  <c r="L34" i="44"/>
  <c r="N33" i="44"/>
  <c r="L33" i="44"/>
  <c r="N32" i="44"/>
  <c r="L32" i="44"/>
  <c r="N31" i="44"/>
  <c r="L31" i="44"/>
  <c r="N30" i="44"/>
  <c r="L30" i="44"/>
  <c r="N29" i="44"/>
  <c r="L29" i="44"/>
  <c r="N28" i="44"/>
  <c r="L28" i="44"/>
  <c r="N27" i="44"/>
  <c r="L27" i="44"/>
  <c r="N26" i="44"/>
  <c r="L26" i="44"/>
  <c r="N25" i="44"/>
  <c r="L25" i="44"/>
  <c r="N24" i="44"/>
  <c r="L24" i="44"/>
  <c r="N23" i="44"/>
  <c r="L23" i="44"/>
  <c r="N22" i="44"/>
  <c r="L22" i="44"/>
  <c r="N21" i="44"/>
  <c r="L21" i="44"/>
  <c r="N20" i="44"/>
  <c r="L20" i="44"/>
  <c r="N19" i="44"/>
  <c r="L19" i="44"/>
  <c r="N18" i="44"/>
  <c r="L18" i="44"/>
  <c r="C17" i="44"/>
  <c r="D18" i="44" s="1"/>
  <c r="B18" i="44" s="1"/>
  <c r="K11" i="44"/>
  <c r="I11" i="44"/>
  <c r="P1" i="44"/>
  <c r="P83" i="44" s="1"/>
  <c r="C18" i="45"/>
  <c r="C19" i="45"/>
  <c r="C20" i="45"/>
  <c r="C21" i="45" s="1"/>
  <c r="C22" i="45" s="1"/>
  <c r="C23" i="45" s="1"/>
  <c r="C24" i="45" s="1"/>
  <c r="C25" i="45" s="1"/>
  <c r="C26" i="45" s="1"/>
  <c r="C27" i="45" s="1"/>
  <c r="C28" i="45" s="1"/>
  <c r="C29" i="45" s="1"/>
  <c r="C30" i="45" s="1"/>
  <c r="C31" i="45" s="1"/>
  <c r="C32" i="45" s="1"/>
  <c r="C33" i="45" s="1"/>
  <c r="C34" i="45" s="1"/>
  <c r="C35" i="45" s="1"/>
  <c r="C36" i="45" s="1"/>
  <c r="C37" i="45" s="1"/>
  <c r="C38" i="45" s="1"/>
  <c r="C39" i="45" s="1"/>
  <c r="C40" i="45" s="1"/>
  <c r="C41" i="45" s="1"/>
  <c r="C42" i="45" s="1"/>
  <c r="C43" i="45" s="1"/>
  <c r="C44" i="45" s="1"/>
  <c r="C45" i="45" s="1"/>
  <c r="C46" i="45" s="1"/>
  <c r="C47" i="45" s="1"/>
  <c r="C48" i="45" s="1"/>
  <c r="C49" i="45" s="1"/>
  <c r="C50" i="45" s="1"/>
  <c r="C51" i="45" s="1"/>
  <c r="C52" i="45" s="1"/>
  <c r="C53" i="45" s="1"/>
  <c r="C54" i="45" s="1"/>
  <c r="C55" i="45" s="1"/>
  <c r="C56" i="45" s="1"/>
  <c r="C57" i="45" s="1"/>
  <c r="C58" i="45" s="1"/>
  <c r="C59" i="45" s="1"/>
  <c r="C60" i="45" s="1"/>
  <c r="C61" i="45" s="1"/>
  <c r="C62" i="45" s="1"/>
  <c r="C63" i="45" s="1"/>
  <c r="C64" i="45" s="1"/>
  <c r="C65" i="45" s="1"/>
  <c r="C66" i="45" s="1"/>
  <c r="C67" i="45" s="1"/>
  <c r="C68" i="45" s="1"/>
  <c r="C69" i="45" s="1"/>
  <c r="C70" i="45" s="1"/>
  <c r="C71" i="45" s="1"/>
  <c r="C72" i="45" s="1"/>
  <c r="D18" i="45"/>
  <c r="B18" i="45" s="1"/>
  <c r="M17" i="40"/>
  <c r="N17" i="40" s="1"/>
  <c r="O17" i="40" s="1"/>
  <c r="K17" i="40"/>
  <c r="M18" i="39"/>
  <c r="N18" i="39"/>
  <c r="K18" i="39"/>
  <c r="L18" i="39" s="1"/>
  <c r="O18" i="39" s="1"/>
  <c r="M18" i="38"/>
  <c r="N18" i="38" s="1"/>
  <c r="K18" i="38"/>
  <c r="L18" i="38" s="1"/>
  <c r="M18" i="37"/>
  <c r="N18" i="37" s="1"/>
  <c r="K18" i="37"/>
  <c r="L18" i="37" s="1"/>
  <c r="M21" i="31"/>
  <c r="N21" i="31"/>
  <c r="K21" i="31"/>
  <c r="L21" i="31"/>
  <c r="M20" i="30"/>
  <c r="N20" i="30" s="1"/>
  <c r="K20" i="30"/>
  <c r="L20" i="30" s="1"/>
  <c r="M21" i="29"/>
  <c r="N21" i="29"/>
  <c r="K21" i="29"/>
  <c r="L21" i="29"/>
  <c r="M21" i="28"/>
  <c r="N21" i="28" s="1"/>
  <c r="K21" i="28"/>
  <c r="L21" i="28" s="1"/>
  <c r="O21" i="28" s="1"/>
  <c r="M22" i="27"/>
  <c r="N22" i="27"/>
  <c r="K22" i="27"/>
  <c r="L22" i="27"/>
  <c r="M25" i="25"/>
  <c r="N25" i="25" s="1"/>
  <c r="K25" i="25"/>
  <c r="L25" i="25" s="1"/>
  <c r="M23" i="24"/>
  <c r="N23" i="24"/>
  <c r="O23" i="24" s="1"/>
  <c r="K23" i="24"/>
  <c r="L23" i="24"/>
  <c r="M24" i="23"/>
  <c r="N24" i="23" s="1"/>
  <c r="K24" i="23"/>
  <c r="L24" i="23" s="1"/>
  <c r="O24" i="23" s="1"/>
  <c r="M25" i="22"/>
  <c r="N25" i="22"/>
  <c r="K25" i="22"/>
  <c r="L25" i="22" s="1"/>
  <c r="M28" i="11"/>
  <c r="N28" i="11"/>
  <c r="K28" i="11"/>
  <c r="L28" i="11"/>
  <c r="O28" i="11" s="1"/>
  <c r="M29" i="10"/>
  <c r="N29" i="10" s="1"/>
  <c r="L29" i="10"/>
  <c r="K29" i="10"/>
  <c r="M28" i="9"/>
  <c r="N28" i="9" s="1"/>
  <c r="K28" i="9"/>
  <c r="L28" i="9"/>
  <c r="M27" i="8"/>
  <c r="N27" i="8" s="1"/>
  <c r="O27" i="8" s="1"/>
  <c r="K27" i="8"/>
  <c r="L27" i="8" s="1"/>
  <c r="M29" i="7"/>
  <c r="N29" i="7" s="1"/>
  <c r="O29" i="7" s="1"/>
  <c r="K29" i="7"/>
  <c r="L29" i="7" s="1"/>
  <c r="M27" i="6"/>
  <c r="N27" i="6" s="1"/>
  <c r="K27" i="6"/>
  <c r="L27" i="6"/>
  <c r="M26" i="5"/>
  <c r="N26" i="5"/>
  <c r="K26" i="5"/>
  <c r="L26" i="5" s="1"/>
  <c r="M26" i="4"/>
  <c r="N26" i="4" s="1"/>
  <c r="K26" i="4"/>
  <c r="L26" i="4" s="1"/>
  <c r="M26" i="3"/>
  <c r="N26" i="3" s="1"/>
  <c r="O26" i="3" s="1"/>
  <c r="K26" i="3"/>
  <c r="L26" i="3" s="1"/>
  <c r="F75" i="1"/>
  <c r="F64" i="1"/>
  <c r="F46" i="1"/>
  <c r="E35" i="1"/>
  <c r="E18" i="1"/>
  <c r="F13" i="1"/>
  <c r="C79" i="1" s="1"/>
  <c r="E36" i="1"/>
  <c r="C89" i="1"/>
  <c r="C75" i="1"/>
  <c r="C58" i="1"/>
  <c r="C46" i="1"/>
  <c r="C35" i="1"/>
  <c r="C31" i="1"/>
  <c r="D17" i="1"/>
  <c r="L19" i="1"/>
  <c r="I10" i="46" s="1"/>
  <c r="T14" i="17"/>
  <c r="W42" i="17"/>
  <c r="P42" i="17"/>
  <c r="W41" i="17"/>
  <c r="P41" i="17"/>
  <c r="W40" i="17"/>
  <c r="P40" i="17"/>
  <c r="W39" i="17"/>
  <c r="P39" i="17"/>
  <c r="M17" i="39"/>
  <c r="K17" i="39"/>
  <c r="M17" i="38"/>
  <c r="K17" i="38"/>
  <c r="M17" i="37"/>
  <c r="K17" i="37"/>
  <c r="N101" i="31"/>
  <c r="O101" i="31"/>
  <c r="L101" i="31"/>
  <c r="M101" i="31" s="1"/>
  <c r="P101" i="31" s="1"/>
  <c r="M20" i="31"/>
  <c r="N20" i="31"/>
  <c r="K20" i="31"/>
  <c r="L20" i="31" s="1"/>
  <c r="N100" i="30"/>
  <c r="O100" i="30" s="1"/>
  <c r="L100" i="30"/>
  <c r="M100" i="30" s="1"/>
  <c r="M19" i="30"/>
  <c r="N19" i="30" s="1"/>
  <c r="K19" i="30"/>
  <c r="L19" i="30" s="1"/>
  <c r="N101" i="29"/>
  <c r="O101" i="29"/>
  <c r="P101" i="29" s="1"/>
  <c r="L101" i="29"/>
  <c r="M101" i="29"/>
  <c r="M20" i="29"/>
  <c r="N20" i="29" s="1"/>
  <c r="O20" i="29" s="1"/>
  <c r="K20" i="29"/>
  <c r="L20" i="29" s="1"/>
  <c r="N101" i="28"/>
  <c r="O101" i="28" s="1"/>
  <c r="L101" i="28"/>
  <c r="M101" i="28"/>
  <c r="M20" i="28"/>
  <c r="N20" i="28" s="1"/>
  <c r="K20" i="28"/>
  <c r="L20" i="28" s="1"/>
  <c r="N102" i="27"/>
  <c r="O102" i="27"/>
  <c r="P102" i="27"/>
  <c r="L102" i="27"/>
  <c r="M102" i="27"/>
  <c r="M21" i="27"/>
  <c r="N21" i="27" s="1"/>
  <c r="O21" i="27" s="1"/>
  <c r="K21" i="27"/>
  <c r="L21" i="27"/>
  <c r="N105" i="25"/>
  <c r="O105" i="25" s="1"/>
  <c r="L105" i="25"/>
  <c r="M105" i="25"/>
  <c r="M24" i="25"/>
  <c r="N24" i="25"/>
  <c r="K24" i="25"/>
  <c r="L24" i="25" s="1"/>
  <c r="N103" i="24"/>
  <c r="O103" i="24" s="1"/>
  <c r="P103" i="24" s="1"/>
  <c r="L103" i="24"/>
  <c r="M103" i="24" s="1"/>
  <c r="M22" i="24"/>
  <c r="N22" i="24" s="1"/>
  <c r="O22" i="24" s="1"/>
  <c r="K22" i="24"/>
  <c r="L22" i="24"/>
  <c r="N104" i="23"/>
  <c r="O104" i="23"/>
  <c r="L104" i="23"/>
  <c r="M104" i="23" s="1"/>
  <c r="M23" i="23"/>
  <c r="N23" i="23" s="1"/>
  <c r="O23" i="23" s="1"/>
  <c r="K23" i="23"/>
  <c r="L23" i="23" s="1"/>
  <c r="N105" i="22"/>
  <c r="O105" i="22"/>
  <c r="P105" i="22" s="1"/>
  <c r="L105" i="22"/>
  <c r="M105" i="22"/>
  <c r="M24" i="22"/>
  <c r="N24" i="22"/>
  <c r="K24" i="22"/>
  <c r="L24" i="22" s="1"/>
  <c r="O24" i="22" s="1"/>
  <c r="N108" i="11"/>
  <c r="O108" i="11" s="1"/>
  <c r="L108" i="11"/>
  <c r="M108" i="11" s="1"/>
  <c r="M27" i="11"/>
  <c r="N27" i="11"/>
  <c r="O27" i="11" s="1"/>
  <c r="K27" i="11"/>
  <c r="L27" i="11"/>
  <c r="N109" i="10"/>
  <c r="O109" i="10"/>
  <c r="L109" i="10"/>
  <c r="M109" i="10"/>
  <c r="M28" i="10"/>
  <c r="N28" i="10"/>
  <c r="K28" i="10"/>
  <c r="L28" i="10" s="1"/>
  <c r="N108" i="9"/>
  <c r="O108" i="9" s="1"/>
  <c r="L108" i="9"/>
  <c r="M108" i="9"/>
  <c r="M27" i="9"/>
  <c r="N27" i="9"/>
  <c r="K27" i="9"/>
  <c r="L27" i="9" s="1"/>
  <c r="N107" i="8"/>
  <c r="O107" i="8"/>
  <c r="P107" i="8" s="1"/>
  <c r="L107" i="8"/>
  <c r="M107" i="8" s="1"/>
  <c r="M26" i="8"/>
  <c r="N26" i="8" s="1"/>
  <c r="K26" i="8"/>
  <c r="L26" i="8" s="1"/>
  <c r="N109" i="7"/>
  <c r="O109" i="7" s="1"/>
  <c r="P109" i="7" s="1"/>
  <c r="L109" i="7"/>
  <c r="M109" i="7" s="1"/>
  <c r="M28" i="7"/>
  <c r="N28" i="7" s="1"/>
  <c r="K28" i="7"/>
  <c r="L28" i="7"/>
  <c r="N107" i="6"/>
  <c r="O107" i="6" s="1"/>
  <c r="L107" i="6"/>
  <c r="M107" i="6" s="1"/>
  <c r="M26" i="6"/>
  <c r="N26" i="6" s="1"/>
  <c r="K26" i="6"/>
  <c r="L26" i="6" s="1"/>
  <c r="N106" i="5"/>
  <c r="O106" i="5"/>
  <c r="L106" i="5"/>
  <c r="M106" i="5"/>
  <c r="M25" i="5"/>
  <c r="N25" i="5" s="1"/>
  <c r="O25" i="5" s="1"/>
  <c r="K25" i="5"/>
  <c r="L25" i="5" s="1"/>
  <c r="N106" i="4"/>
  <c r="O106" i="4"/>
  <c r="P106" i="4" s="1"/>
  <c r="L106" i="4"/>
  <c r="M106" i="4" s="1"/>
  <c r="M25" i="4"/>
  <c r="N25" i="4" s="1"/>
  <c r="O25" i="4" s="1"/>
  <c r="K25" i="4"/>
  <c r="L25" i="4" s="1"/>
  <c r="N106" i="3"/>
  <c r="O106" i="3"/>
  <c r="L106" i="3"/>
  <c r="M106" i="3"/>
  <c r="M25" i="3"/>
  <c r="N25" i="3" s="1"/>
  <c r="K25" i="3"/>
  <c r="L25" i="3" s="1"/>
  <c r="P154" i="43"/>
  <c r="O154" i="43"/>
  <c r="M154" i="43"/>
  <c r="J154" i="43"/>
  <c r="P153" i="43"/>
  <c r="O153" i="43"/>
  <c r="M153" i="43"/>
  <c r="J153" i="43"/>
  <c r="P152" i="43"/>
  <c r="O152" i="43"/>
  <c r="M152" i="43"/>
  <c r="J152" i="43"/>
  <c r="P151" i="43"/>
  <c r="O151" i="43"/>
  <c r="M151" i="43"/>
  <c r="J151" i="43"/>
  <c r="P150" i="43"/>
  <c r="O150" i="43"/>
  <c r="M150" i="43"/>
  <c r="J150" i="43"/>
  <c r="P149" i="43"/>
  <c r="O149" i="43"/>
  <c r="M149" i="43"/>
  <c r="J149" i="43"/>
  <c r="P148" i="43"/>
  <c r="O148" i="43"/>
  <c r="M148" i="43"/>
  <c r="J148" i="43"/>
  <c r="P147" i="43"/>
  <c r="O147" i="43"/>
  <c r="M147" i="43"/>
  <c r="J147" i="43"/>
  <c r="P146" i="43"/>
  <c r="O146" i="43"/>
  <c r="M146" i="43"/>
  <c r="J146" i="43"/>
  <c r="P145" i="43"/>
  <c r="O145" i="43"/>
  <c r="M145" i="43"/>
  <c r="J145" i="43"/>
  <c r="P144" i="43"/>
  <c r="O144" i="43"/>
  <c r="M144" i="43"/>
  <c r="J144" i="43"/>
  <c r="P143" i="43"/>
  <c r="O143" i="43"/>
  <c r="M143" i="43"/>
  <c r="J143" i="43"/>
  <c r="P142" i="43"/>
  <c r="O142" i="43"/>
  <c r="M142" i="43"/>
  <c r="J142" i="43"/>
  <c r="P141" i="43"/>
  <c r="O141" i="43"/>
  <c r="M141" i="43"/>
  <c r="J141" i="43"/>
  <c r="P140" i="43"/>
  <c r="O140" i="43"/>
  <c r="M140" i="43"/>
  <c r="J140" i="43"/>
  <c r="P139" i="43"/>
  <c r="O139" i="43"/>
  <c r="M139" i="43"/>
  <c r="J139" i="43"/>
  <c r="P138" i="43"/>
  <c r="O138" i="43"/>
  <c r="M138" i="43"/>
  <c r="J138" i="43"/>
  <c r="P137" i="43"/>
  <c r="O137" i="43"/>
  <c r="M137" i="43"/>
  <c r="J137" i="43"/>
  <c r="P136" i="43"/>
  <c r="O136" i="43"/>
  <c r="M136" i="43"/>
  <c r="J136" i="43"/>
  <c r="P135" i="43"/>
  <c r="O135" i="43"/>
  <c r="M135" i="43"/>
  <c r="J135" i="43"/>
  <c r="P134" i="43"/>
  <c r="O134" i="43"/>
  <c r="M134" i="43"/>
  <c r="J134" i="43"/>
  <c r="P133" i="43"/>
  <c r="O133" i="43"/>
  <c r="M133" i="43"/>
  <c r="J133" i="43"/>
  <c r="P132" i="43"/>
  <c r="O132" i="43"/>
  <c r="M132" i="43"/>
  <c r="J132" i="43"/>
  <c r="P131" i="43"/>
  <c r="O131" i="43"/>
  <c r="M131" i="43"/>
  <c r="J131" i="43"/>
  <c r="O130" i="43"/>
  <c r="M130" i="43"/>
  <c r="O129" i="43"/>
  <c r="M129" i="43"/>
  <c r="O128" i="43"/>
  <c r="M128" i="43"/>
  <c r="O127" i="43"/>
  <c r="M127" i="43"/>
  <c r="O126" i="43"/>
  <c r="M126" i="43"/>
  <c r="O125" i="43"/>
  <c r="M125" i="43"/>
  <c r="O124" i="43"/>
  <c r="M124" i="43"/>
  <c r="O123" i="43"/>
  <c r="M123" i="43"/>
  <c r="O122" i="43"/>
  <c r="M122" i="43"/>
  <c r="O121" i="43"/>
  <c r="M121" i="43"/>
  <c r="O120" i="43"/>
  <c r="M120" i="43"/>
  <c r="O119" i="43"/>
  <c r="M119" i="43"/>
  <c r="O118" i="43"/>
  <c r="M118" i="43"/>
  <c r="O117" i="43"/>
  <c r="M117" i="43"/>
  <c r="O116" i="43"/>
  <c r="M116" i="43"/>
  <c r="O115" i="43"/>
  <c r="M115" i="43"/>
  <c r="O114" i="43"/>
  <c r="M114" i="43"/>
  <c r="O113" i="43"/>
  <c r="M113" i="43"/>
  <c r="O112" i="43"/>
  <c r="M112" i="43"/>
  <c r="O111" i="43"/>
  <c r="M111" i="43"/>
  <c r="O110" i="43"/>
  <c r="M110" i="43"/>
  <c r="O109" i="43"/>
  <c r="M109" i="43"/>
  <c r="O108" i="43"/>
  <c r="M108" i="43"/>
  <c r="O107" i="43"/>
  <c r="M107" i="43"/>
  <c r="O106" i="43"/>
  <c r="M106" i="43"/>
  <c r="O105" i="43"/>
  <c r="M105" i="43"/>
  <c r="O104" i="43"/>
  <c r="M104" i="43"/>
  <c r="O103" i="43"/>
  <c r="M103" i="43"/>
  <c r="O102" i="43"/>
  <c r="M102" i="43"/>
  <c r="O101" i="43"/>
  <c r="M101" i="43"/>
  <c r="O100" i="43"/>
  <c r="M100" i="43"/>
  <c r="O99" i="43"/>
  <c r="M99" i="43"/>
  <c r="D96" i="43"/>
  <c r="L93" i="43"/>
  <c r="J93" i="43"/>
  <c r="D91" i="43"/>
  <c r="D89" i="43"/>
  <c r="N72" i="43"/>
  <c r="L72" i="43"/>
  <c r="N71" i="43"/>
  <c r="L71" i="43"/>
  <c r="N70" i="43"/>
  <c r="L70" i="43"/>
  <c r="N69" i="43"/>
  <c r="L69" i="43"/>
  <c r="N68" i="43"/>
  <c r="L68" i="43"/>
  <c r="N67" i="43"/>
  <c r="L67" i="43"/>
  <c r="N66" i="43"/>
  <c r="L66" i="43"/>
  <c r="N65" i="43"/>
  <c r="L65" i="43"/>
  <c r="N64" i="43"/>
  <c r="L64" i="43"/>
  <c r="N63" i="43"/>
  <c r="L63" i="43"/>
  <c r="N62" i="43"/>
  <c r="L62" i="43"/>
  <c r="N61" i="43"/>
  <c r="L61" i="43"/>
  <c r="N60" i="43"/>
  <c r="L60" i="43"/>
  <c r="N59" i="43"/>
  <c r="L59" i="43"/>
  <c r="N58" i="43"/>
  <c r="L58" i="43"/>
  <c r="N57" i="43"/>
  <c r="L57" i="43"/>
  <c r="N56" i="43"/>
  <c r="L56" i="43"/>
  <c r="N55" i="43"/>
  <c r="L55" i="43"/>
  <c r="N54" i="43"/>
  <c r="L54" i="43"/>
  <c r="N53" i="43"/>
  <c r="L53" i="43"/>
  <c r="N52" i="43"/>
  <c r="L52" i="43"/>
  <c r="N51" i="43"/>
  <c r="L51" i="43"/>
  <c r="N50" i="43"/>
  <c r="L50" i="43"/>
  <c r="N49" i="43"/>
  <c r="L49" i="43"/>
  <c r="N48" i="43"/>
  <c r="L48" i="43"/>
  <c r="N47" i="43"/>
  <c r="L47" i="43"/>
  <c r="N46" i="43"/>
  <c r="L46" i="43"/>
  <c r="N45" i="43"/>
  <c r="L45" i="43"/>
  <c r="N44" i="43"/>
  <c r="L44" i="43"/>
  <c r="N43" i="43"/>
  <c r="L43" i="43"/>
  <c r="N42" i="43"/>
  <c r="L42" i="43"/>
  <c r="N41" i="43"/>
  <c r="L41" i="43"/>
  <c r="N40" i="43"/>
  <c r="L40" i="43"/>
  <c r="N39" i="43"/>
  <c r="L39" i="43"/>
  <c r="N38" i="43"/>
  <c r="L38" i="43"/>
  <c r="N37" i="43"/>
  <c r="L37" i="43"/>
  <c r="N36" i="43"/>
  <c r="L36" i="43"/>
  <c r="N35" i="43"/>
  <c r="L35" i="43"/>
  <c r="N34" i="43"/>
  <c r="L34" i="43"/>
  <c r="N33" i="43"/>
  <c r="L33" i="43"/>
  <c r="N32" i="43"/>
  <c r="L32" i="43"/>
  <c r="N31" i="43"/>
  <c r="L31" i="43"/>
  <c r="N30" i="43"/>
  <c r="L30" i="43"/>
  <c r="N29" i="43"/>
  <c r="L29" i="43"/>
  <c r="N28" i="43"/>
  <c r="L28" i="43"/>
  <c r="N27" i="43"/>
  <c r="L27" i="43"/>
  <c r="N26" i="43"/>
  <c r="L26" i="43"/>
  <c r="N25" i="43"/>
  <c r="L25" i="43"/>
  <c r="N24" i="43"/>
  <c r="L24" i="43"/>
  <c r="N23" i="43"/>
  <c r="L23" i="43"/>
  <c r="N22" i="43"/>
  <c r="L22" i="43"/>
  <c r="N21" i="43"/>
  <c r="L21" i="43"/>
  <c r="N20" i="43"/>
  <c r="L20" i="43"/>
  <c r="N19" i="43"/>
  <c r="L19" i="43"/>
  <c r="C17" i="43"/>
  <c r="C18" i="43"/>
  <c r="C19" i="43" s="1"/>
  <c r="C20" i="43" s="1"/>
  <c r="C21" i="43" s="1"/>
  <c r="C22" i="43" s="1"/>
  <c r="C23" i="43" s="1"/>
  <c r="C24" i="43" s="1"/>
  <c r="C25" i="43" s="1"/>
  <c r="C26" i="43" s="1"/>
  <c r="C27" i="43" s="1"/>
  <c r="C28" i="43" s="1"/>
  <c r="C29" i="43" s="1"/>
  <c r="C30" i="43" s="1"/>
  <c r="C31" i="43" s="1"/>
  <c r="C32" i="43" s="1"/>
  <c r="C33" i="43" s="1"/>
  <c r="C34" i="43" s="1"/>
  <c r="C35" i="43" s="1"/>
  <c r="C36" i="43" s="1"/>
  <c r="C37" i="43" s="1"/>
  <c r="C38" i="43" s="1"/>
  <c r="C39" i="43" s="1"/>
  <c r="C40" i="43" s="1"/>
  <c r="C41" i="43" s="1"/>
  <c r="C42" i="43" s="1"/>
  <c r="C43" i="43" s="1"/>
  <c r="C44" i="43" s="1"/>
  <c r="K11" i="43"/>
  <c r="I11" i="43"/>
  <c r="D90" i="43"/>
  <c r="P1" i="43"/>
  <c r="P83" i="43" s="1"/>
  <c r="P154" i="42"/>
  <c r="O154" i="42"/>
  <c r="M154" i="42"/>
  <c r="J154" i="42"/>
  <c r="P153" i="42"/>
  <c r="O153" i="42"/>
  <c r="M153" i="42"/>
  <c r="J153" i="42"/>
  <c r="P152" i="42"/>
  <c r="O152" i="42"/>
  <c r="M152" i="42"/>
  <c r="J152" i="42"/>
  <c r="P151" i="42"/>
  <c r="O151" i="42"/>
  <c r="M151" i="42"/>
  <c r="J151" i="42"/>
  <c r="P150" i="42"/>
  <c r="O150" i="42"/>
  <c r="M150" i="42"/>
  <c r="J150" i="42"/>
  <c r="P149" i="42"/>
  <c r="O149" i="42"/>
  <c r="M149" i="42"/>
  <c r="J149" i="42"/>
  <c r="P148" i="42"/>
  <c r="O148" i="42"/>
  <c r="M148" i="42"/>
  <c r="J148" i="42"/>
  <c r="P147" i="42"/>
  <c r="O147" i="42"/>
  <c r="M147" i="42"/>
  <c r="J147" i="42"/>
  <c r="P146" i="42"/>
  <c r="O146" i="42"/>
  <c r="M146" i="42"/>
  <c r="J146" i="42"/>
  <c r="P145" i="42"/>
  <c r="O145" i="42"/>
  <c r="M145" i="42"/>
  <c r="J145" i="42"/>
  <c r="P144" i="42"/>
  <c r="O144" i="42"/>
  <c r="M144" i="42"/>
  <c r="J144" i="42"/>
  <c r="P143" i="42"/>
  <c r="O143" i="42"/>
  <c r="M143" i="42"/>
  <c r="J143" i="42"/>
  <c r="P142" i="42"/>
  <c r="O142" i="42"/>
  <c r="M142" i="42"/>
  <c r="J142" i="42"/>
  <c r="P141" i="42"/>
  <c r="O141" i="42"/>
  <c r="M141" i="42"/>
  <c r="J141" i="42"/>
  <c r="P140" i="42"/>
  <c r="O140" i="42"/>
  <c r="M140" i="42"/>
  <c r="J140" i="42"/>
  <c r="P139" i="42"/>
  <c r="O139" i="42"/>
  <c r="M139" i="42"/>
  <c r="J139" i="42"/>
  <c r="P138" i="42"/>
  <c r="O138" i="42"/>
  <c r="M138" i="42"/>
  <c r="J138" i="42"/>
  <c r="P137" i="42"/>
  <c r="O137" i="42"/>
  <c r="M137" i="42"/>
  <c r="J137" i="42"/>
  <c r="P136" i="42"/>
  <c r="O136" i="42"/>
  <c r="M136" i="42"/>
  <c r="J136" i="42"/>
  <c r="P135" i="42"/>
  <c r="O135" i="42"/>
  <c r="M135" i="42"/>
  <c r="J135" i="42"/>
  <c r="P134" i="42"/>
  <c r="O134" i="42"/>
  <c r="M134" i="42"/>
  <c r="J134" i="42"/>
  <c r="P133" i="42"/>
  <c r="O133" i="42"/>
  <c r="M133" i="42"/>
  <c r="J133" i="42"/>
  <c r="P132" i="42"/>
  <c r="O132" i="42"/>
  <c r="M132" i="42"/>
  <c r="J132" i="42"/>
  <c r="P131" i="42"/>
  <c r="O131" i="42"/>
  <c r="M131" i="42"/>
  <c r="J131" i="42"/>
  <c r="O130" i="42"/>
  <c r="M130" i="42"/>
  <c r="O129" i="42"/>
  <c r="M129" i="42"/>
  <c r="O128" i="42"/>
  <c r="M128" i="42"/>
  <c r="O127" i="42"/>
  <c r="M127" i="42"/>
  <c r="O126" i="42"/>
  <c r="M126" i="42"/>
  <c r="O125" i="42"/>
  <c r="M125" i="42"/>
  <c r="O124" i="42"/>
  <c r="M124" i="42"/>
  <c r="O123" i="42"/>
  <c r="M123" i="42"/>
  <c r="O122" i="42"/>
  <c r="M122" i="42"/>
  <c r="O121" i="42"/>
  <c r="M121" i="42"/>
  <c r="O120" i="42"/>
  <c r="M120" i="42"/>
  <c r="O119" i="42"/>
  <c r="M119" i="42"/>
  <c r="O118" i="42"/>
  <c r="M118" i="42"/>
  <c r="O117" i="42"/>
  <c r="M117" i="42"/>
  <c r="O116" i="42"/>
  <c r="M116" i="42"/>
  <c r="O115" i="42"/>
  <c r="M115" i="42"/>
  <c r="O114" i="42"/>
  <c r="M114" i="42"/>
  <c r="O113" i="42"/>
  <c r="M113" i="42"/>
  <c r="O112" i="42"/>
  <c r="M112" i="42"/>
  <c r="O111" i="42"/>
  <c r="M111" i="42"/>
  <c r="O110" i="42"/>
  <c r="M110" i="42"/>
  <c r="O109" i="42"/>
  <c r="M109" i="42"/>
  <c r="O108" i="42"/>
  <c r="M108" i="42"/>
  <c r="O107" i="42"/>
  <c r="M107" i="42"/>
  <c r="O106" i="42"/>
  <c r="M106" i="42"/>
  <c r="O105" i="42"/>
  <c r="M105" i="42"/>
  <c r="O104" i="42"/>
  <c r="M104" i="42"/>
  <c r="O103" i="42"/>
  <c r="M103" i="42"/>
  <c r="O102" i="42"/>
  <c r="M102" i="42"/>
  <c r="O101" i="42"/>
  <c r="M101" i="42"/>
  <c r="O100" i="42"/>
  <c r="M100" i="42"/>
  <c r="O99" i="42"/>
  <c r="M99" i="42"/>
  <c r="D96" i="42"/>
  <c r="L93" i="42"/>
  <c r="J93" i="42"/>
  <c r="D91" i="42"/>
  <c r="D89" i="42"/>
  <c r="N72" i="42"/>
  <c r="L72" i="42"/>
  <c r="N71" i="42"/>
  <c r="L71" i="42"/>
  <c r="N70" i="42"/>
  <c r="L70" i="42"/>
  <c r="N69" i="42"/>
  <c r="L69" i="42"/>
  <c r="N68" i="42"/>
  <c r="L68" i="42"/>
  <c r="N67" i="42"/>
  <c r="L67" i="42"/>
  <c r="N66" i="42"/>
  <c r="L66" i="42"/>
  <c r="N65" i="42"/>
  <c r="L65" i="42"/>
  <c r="N64" i="42"/>
  <c r="L64" i="42"/>
  <c r="N63" i="42"/>
  <c r="L63" i="42"/>
  <c r="N62" i="42"/>
  <c r="L62" i="42"/>
  <c r="N61" i="42"/>
  <c r="L61" i="42"/>
  <c r="N60" i="42"/>
  <c r="L60" i="42"/>
  <c r="N59" i="42"/>
  <c r="L59" i="42"/>
  <c r="N58" i="42"/>
  <c r="L58" i="42"/>
  <c r="N57" i="42"/>
  <c r="L57" i="42"/>
  <c r="N56" i="42"/>
  <c r="L56" i="42"/>
  <c r="N55" i="42"/>
  <c r="L55" i="42"/>
  <c r="N54" i="42"/>
  <c r="L54" i="42"/>
  <c r="N53" i="42"/>
  <c r="L53" i="42"/>
  <c r="N52" i="42"/>
  <c r="L52" i="42"/>
  <c r="N51" i="42"/>
  <c r="L51" i="42"/>
  <c r="N50" i="42"/>
  <c r="L50" i="42"/>
  <c r="N49" i="42"/>
  <c r="L49" i="42"/>
  <c r="N48" i="42"/>
  <c r="L48" i="42"/>
  <c r="N47" i="42"/>
  <c r="L47" i="42"/>
  <c r="N46" i="42"/>
  <c r="L46" i="42"/>
  <c r="N45" i="42"/>
  <c r="L45" i="42"/>
  <c r="N44" i="42"/>
  <c r="L44" i="42"/>
  <c r="N43" i="42"/>
  <c r="L43" i="42"/>
  <c r="N42" i="42"/>
  <c r="L42" i="42"/>
  <c r="N41" i="42"/>
  <c r="L41" i="42"/>
  <c r="N40" i="42"/>
  <c r="L40" i="42"/>
  <c r="N39" i="42"/>
  <c r="L39" i="42"/>
  <c r="N38" i="42"/>
  <c r="L38" i="42"/>
  <c r="N37" i="42"/>
  <c r="L37" i="42"/>
  <c r="N36" i="42"/>
  <c r="L36" i="42"/>
  <c r="N35" i="42"/>
  <c r="L35" i="42"/>
  <c r="N34" i="42"/>
  <c r="L34" i="42"/>
  <c r="N33" i="42"/>
  <c r="L33" i="42"/>
  <c r="N32" i="42"/>
  <c r="L32" i="42"/>
  <c r="N31" i="42"/>
  <c r="L31" i="42"/>
  <c r="N30" i="42"/>
  <c r="L30" i="42"/>
  <c r="N29" i="42"/>
  <c r="L29" i="42"/>
  <c r="N28" i="42"/>
  <c r="L28" i="42"/>
  <c r="N27" i="42"/>
  <c r="L27" i="42"/>
  <c r="N26" i="42"/>
  <c r="L26" i="42"/>
  <c r="N25" i="42"/>
  <c r="L25" i="42"/>
  <c r="N24" i="42"/>
  <c r="L24" i="42"/>
  <c r="N23" i="42"/>
  <c r="L23" i="42"/>
  <c r="N22" i="42"/>
  <c r="L22" i="42"/>
  <c r="N21" i="42"/>
  <c r="L21" i="42"/>
  <c r="N20" i="42"/>
  <c r="L20" i="42"/>
  <c r="N19" i="42"/>
  <c r="L19" i="42"/>
  <c r="C17" i="42"/>
  <c r="K11" i="42"/>
  <c r="I11" i="42"/>
  <c r="D90" i="42"/>
  <c r="P1" i="42"/>
  <c r="P83" i="42" s="1"/>
  <c r="P154" i="41"/>
  <c r="O154" i="41"/>
  <c r="M154" i="41"/>
  <c r="J154" i="41"/>
  <c r="P153" i="41"/>
  <c r="O153" i="41"/>
  <c r="M153" i="41"/>
  <c r="J153" i="41"/>
  <c r="P152" i="41"/>
  <c r="O152" i="41"/>
  <c r="M152" i="41"/>
  <c r="J152" i="41"/>
  <c r="P151" i="41"/>
  <c r="O151" i="41"/>
  <c r="M151" i="41"/>
  <c r="J151" i="41"/>
  <c r="P150" i="41"/>
  <c r="O150" i="41"/>
  <c r="M150" i="41"/>
  <c r="J150" i="41"/>
  <c r="P149" i="41"/>
  <c r="O149" i="41"/>
  <c r="M149" i="41"/>
  <c r="J149" i="41"/>
  <c r="P148" i="41"/>
  <c r="O148" i="41"/>
  <c r="M148" i="41"/>
  <c r="J148" i="41"/>
  <c r="P147" i="41"/>
  <c r="O147" i="41"/>
  <c r="M147" i="41"/>
  <c r="J147" i="41"/>
  <c r="P146" i="41"/>
  <c r="O146" i="41"/>
  <c r="M146" i="41"/>
  <c r="J146" i="41"/>
  <c r="P145" i="41"/>
  <c r="O145" i="41"/>
  <c r="M145" i="41"/>
  <c r="J145" i="41"/>
  <c r="P144" i="41"/>
  <c r="O144" i="41"/>
  <c r="M144" i="41"/>
  <c r="J144" i="41"/>
  <c r="P143" i="41"/>
  <c r="O143" i="41"/>
  <c r="M143" i="41"/>
  <c r="J143" i="41"/>
  <c r="P142" i="41"/>
  <c r="O142" i="41"/>
  <c r="M142" i="41"/>
  <c r="J142" i="41"/>
  <c r="P141" i="41"/>
  <c r="O141" i="41"/>
  <c r="M141" i="41"/>
  <c r="J141" i="41"/>
  <c r="P140" i="41"/>
  <c r="O140" i="41"/>
  <c r="M140" i="41"/>
  <c r="J140" i="41"/>
  <c r="P139" i="41"/>
  <c r="O139" i="41"/>
  <c r="M139" i="41"/>
  <c r="J139" i="41"/>
  <c r="P138" i="41"/>
  <c r="O138" i="41"/>
  <c r="M138" i="41"/>
  <c r="J138" i="41"/>
  <c r="P137" i="41"/>
  <c r="O137" i="41"/>
  <c r="M137" i="41"/>
  <c r="J137" i="41"/>
  <c r="P136" i="41"/>
  <c r="O136" i="41"/>
  <c r="M136" i="41"/>
  <c r="J136" i="41"/>
  <c r="P135" i="41"/>
  <c r="O135" i="41"/>
  <c r="M135" i="41"/>
  <c r="J135" i="41"/>
  <c r="P134" i="41"/>
  <c r="O134" i="41"/>
  <c r="M134" i="41"/>
  <c r="J134" i="41"/>
  <c r="P133" i="41"/>
  <c r="O133" i="41"/>
  <c r="M133" i="41"/>
  <c r="J133" i="41"/>
  <c r="P132" i="41"/>
  <c r="O132" i="41"/>
  <c r="M132" i="41"/>
  <c r="J132" i="41"/>
  <c r="P131" i="41"/>
  <c r="O131" i="41"/>
  <c r="M131" i="41"/>
  <c r="J131" i="41"/>
  <c r="O130" i="41"/>
  <c r="M130" i="41"/>
  <c r="O129" i="41"/>
  <c r="M129" i="41"/>
  <c r="O128" i="41"/>
  <c r="M128" i="41"/>
  <c r="O127" i="41"/>
  <c r="M127" i="41"/>
  <c r="O126" i="41"/>
  <c r="M126" i="41"/>
  <c r="O125" i="41"/>
  <c r="M125" i="41"/>
  <c r="O124" i="41"/>
  <c r="M124" i="41"/>
  <c r="O123" i="41"/>
  <c r="M123" i="41"/>
  <c r="O122" i="41"/>
  <c r="M122" i="41"/>
  <c r="O121" i="41"/>
  <c r="M121" i="41"/>
  <c r="O120" i="41"/>
  <c r="M120" i="41"/>
  <c r="O119" i="41"/>
  <c r="M119" i="41"/>
  <c r="O118" i="41"/>
  <c r="M118" i="41"/>
  <c r="O117" i="41"/>
  <c r="M117" i="41"/>
  <c r="O116" i="41"/>
  <c r="M116" i="41"/>
  <c r="O115" i="41"/>
  <c r="M115" i="41"/>
  <c r="O114" i="41"/>
  <c r="M114" i="41"/>
  <c r="O113" i="41"/>
  <c r="M113" i="41"/>
  <c r="O112" i="41"/>
  <c r="M112" i="41"/>
  <c r="O111" i="41"/>
  <c r="M111" i="41"/>
  <c r="O110" i="41"/>
  <c r="M110" i="41"/>
  <c r="O109" i="41"/>
  <c r="M109" i="41"/>
  <c r="O108" i="41"/>
  <c r="M108" i="41"/>
  <c r="O107" i="41"/>
  <c r="M107" i="41"/>
  <c r="O106" i="41"/>
  <c r="M106" i="41"/>
  <c r="O105" i="41"/>
  <c r="M105" i="41"/>
  <c r="O104" i="41"/>
  <c r="M104" i="41"/>
  <c r="O103" i="41"/>
  <c r="M103" i="41"/>
  <c r="O102" i="41"/>
  <c r="M102" i="41"/>
  <c r="O101" i="41"/>
  <c r="M101" i="41"/>
  <c r="O100" i="41"/>
  <c r="M100" i="41"/>
  <c r="O99" i="41"/>
  <c r="M99" i="41"/>
  <c r="D96" i="41"/>
  <c r="L93" i="41"/>
  <c r="J93" i="41"/>
  <c r="D91" i="41"/>
  <c r="D89" i="41"/>
  <c r="N72" i="41"/>
  <c r="L72" i="41"/>
  <c r="N71" i="41"/>
  <c r="L71" i="41"/>
  <c r="N70" i="41"/>
  <c r="L70" i="41"/>
  <c r="N69" i="41"/>
  <c r="L69" i="41"/>
  <c r="N68" i="41"/>
  <c r="L68" i="41"/>
  <c r="N67" i="41"/>
  <c r="L67" i="41"/>
  <c r="N66" i="41"/>
  <c r="L66" i="41"/>
  <c r="N65" i="41"/>
  <c r="L65" i="41"/>
  <c r="N64" i="41"/>
  <c r="L64" i="41"/>
  <c r="N63" i="41"/>
  <c r="L63" i="41"/>
  <c r="N62" i="41"/>
  <c r="L62" i="41"/>
  <c r="N61" i="41"/>
  <c r="L61" i="41"/>
  <c r="N60" i="41"/>
  <c r="L60" i="41"/>
  <c r="N59" i="41"/>
  <c r="L59" i="41"/>
  <c r="N58" i="41"/>
  <c r="L58" i="41"/>
  <c r="N57" i="41"/>
  <c r="L57" i="41"/>
  <c r="N56" i="41"/>
  <c r="L56" i="41"/>
  <c r="N55" i="41"/>
  <c r="L55" i="41"/>
  <c r="N54" i="41"/>
  <c r="L54" i="41"/>
  <c r="N53" i="41"/>
  <c r="L53" i="41"/>
  <c r="N52" i="41"/>
  <c r="L52" i="41"/>
  <c r="N51" i="41"/>
  <c r="L51" i="41"/>
  <c r="N50" i="41"/>
  <c r="L50" i="41"/>
  <c r="N49" i="41"/>
  <c r="L49" i="41"/>
  <c r="N48" i="41"/>
  <c r="L48" i="41"/>
  <c r="N47" i="41"/>
  <c r="L47" i="41"/>
  <c r="N46" i="41"/>
  <c r="L46" i="41"/>
  <c r="N45" i="41"/>
  <c r="L45" i="41"/>
  <c r="N44" i="41"/>
  <c r="L44" i="41"/>
  <c r="N43" i="41"/>
  <c r="L43" i="41"/>
  <c r="N42" i="41"/>
  <c r="L42" i="41"/>
  <c r="N41" i="41"/>
  <c r="L41" i="41"/>
  <c r="N40" i="41"/>
  <c r="L40" i="41"/>
  <c r="N39" i="41"/>
  <c r="L39" i="41"/>
  <c r="N38" i="41"/>
  <c r="L38" i="41"/>
  <c r="N37" i="41"/>
  <c r="L37" i="41"/>
  <c r="N36" i="41"/>
  <c r="L36" i="41"/>
  <c r="N35" i="41"/>
  <c r="L35" i="41"/>
  <c r="N34" i="41"/>
  <c r="L34" i="41"/>
  <c r="N33" i="41"/>
  <c r="L33" i="41"/>
  <c r="N32" i="41"/>
  <c r="L32" i="41"/>
  <c r="N31" i="41"/>
  <c r="L31" i="41"/>
  <c r="N30" i="41"/>
  <c r="L30" i="41"/>
  <c r="N29" i="41"/>
  <c r="L29" i="41"/>
  <c r="N28" i="41"/>
  <c r="L28" i="41"/>
  <c r="N27" i="41"/>
  <c r="L27" i="41"/>
  <c r="N26" i="41"/>
  <c r="L26" i="41"/>
  <c r="N25" i="41"/>
  <c r="L25" i="41"/>
  <c r="N24" i="41"/>
  <c r="L24" i="41"/>
  <c r="N23" i="41"/>
  <c r="L23" i="41"/>
  <c r="N22" i="41"/>
  <c r="L22" i="41"/>
  <c r="N21" i="41"/>
  <c r="L21" i="41"/>
  <c r="N20" i="41"/>
  <c r="L20" i="41"/>
  <c r="N19" i="41"/>
  <c r="L19" i="41"/>
  <c r="C17" i="41"/>
  <c r="C18" i="41"/>
  <c r="C19" i="41" s="1"/>
  <c r="C20" i="41" s="1"/>
  <c r="C21" i="41" s="1"/>
  <c r="C22" i="41" s="1"/>
  <c r="C23" i="41" s="1"/>
  <c r="C24" i="41" s="1"/>
  <c r="C25" i="41" s="1"/>
  <c r="C26" i="41" s="1"/>
  <c r="C27" i="41" s="1"/>
  <c r="C28" i="41" s="1"/>
  <c r="C29" i="41" s="1"/>
  <c r="C30" i="41" s="1"/>
  <c r="C31" i="41" s="1"/>
  <c r="C32" i="41" s="1"/>
  <c r="C33" i="41" s="1"/>
  <c r="C34" i="41" s="1"/>
  <c r="C35" i="41" s="1"/>
  <c r="C36" i="41" s="1"/>
  <c r="C37" i="41" s="1"/>
  <c r="C38" i="41" s="1"/>
  <c r="C39" i="41" s="1"/>
  <c r="C40" i="41" s="1"/>
  <c r="C41" i="41" s="1"/>
  <c r="C42" i="41" s="1"/>
  <c r="C43" i="41" s="1"/>
  <c r="C44" i="41" s="1"/>
  <c r="K11" i="41"/>
  <c r="I11" i="41"/>
  <c r="D90" i="41"/>
  <c r="P1" i="41"/>
  <c r="P83" i="41" s="1"/>
  <c r="F64" i="2"/>
  <c r="E17" i="13"/>
  <c r="F17" i="13" s="1"/>
  <c r="D18" i="13" s="1"/>
  <c r="B18" i="13" s="1"/>
  <c r="J92" i="41"/>
  <c r="E36" i="2"/>
  <c r="C36" i="2"/>
  <c r="E35" i="2"/>
  <c r="C35" i="2"/>
  <c r="C36" i="1"/>
  <c r="N100" i="31"/>
  <c r="O100" i="31" s="1"/>
  <c r="L100" i="31"/>
  <c r="M100" i="31"/>
  <c r="M19" i="31"/>
  <c r="N19" i="31"/>
  <c r="O19" i="31" s="1"/>
  <c r="K19" i="31"/>
  <c r="L19" i="31" s="1"/>
  <c r="N99" i="30"/>
  <c r="L99" i="30"/>
  <c r="M18" i="30"/>
  <c r="N18" i="30" s="1"/>
  <c r="K18" i="30"/>
  <c r="L18" i="30" s="1"/>
  <c r="N100" i="29"/>
  <c r="O100" i="29"/>
  <c r="P100" i="29" s="1"/>
  <c r="L100" i="29"/>
  <c r="M100" i="29"/>
  <c r="M19" i="29"/>
  <c r="N19" i="29"/>
  <c r="K19" i="29"/>
  <c r="L19" i="29"/>
  <c r="N100" i="28"/>
  <c r="O100" i="28" s="1"/>
  <c r="L100" i="28"/>
  <c r="M100" i="28"/>
  <c r="M19" i="28"/>
  <c r="N19" i="28" s="1"/>
  <c r="K19" i="28"/>
  <c r="L19" i="28" s="1"/>
  <c r="N101" i="27"/>
  <c r="O101" i="27"/>
  <c r="L101" i="27"/>
  <c r="M101" i="27"/>
  <c r="M20" i="27"/>
  <c r="N20" i="27" s="1"/>
  <c r="K20" i="27"/>
  <c r="L20" i="27" s="1"/>
  <c r="N104" i="25"/>
  <c r="O104" i="25" s="1"/>
  <c r="L104" i="25"/>
  <c r="M104" i="25" s="1"/>
  <c r="M23" i="25"/>
  <c r="N23" i="25"/>
  <c r="K23" i="25"/>
  <c r="L23" i="25"/>
  <c r="N102" i="24"/>
  <c r="O102" i="24"/>
  <c r="P102" i="24" s="1"/>
  <c r="L102" i="24"/>
  <c r="M102" i="24"/>
  <c r="M21" i="24"/>
  <c r="N21" i="24" s="1"/>
  <c r="K21" i="24"/>
  <c r="L21" i="24" s="1"/>
  <c r="N103" i="23"/>
  <c r="O103" i="23" s="1"/>
  <c r="L103" i="23"/>
  <c r="M103" i="23" s="1"/>
  <c r="M22" i="23"/>
  <c r="N22" i="23" s="1"/>
  <c r="K22" i="23"/>
  <c r="L22" i="23" s="1"/>
  <c r="N104" i="22"/>
  <c r="O104" i="22"/>
  <c r="L104" i="22"/>
  <c r="M104" i="22" s="1"/>
  <c r="P104" i="22" s="1"/>
  <c r="M23" i="22"/>
  <c r="N23" i="22"/>
  <c r="K23" i="22"/>
  <c r="L23" i="22" s="1"/>
  <c r="O23" i="22" s="1"/>
  <c r="N107" i="11"/>
  <c r="O107" i="11" s="1"/>
  <c r="P107" i="11" s="1"/>
  <c r="L107" i="11"/>
  <c r="M107" i="11" s="1"/>
  <c r="M26" i="11"/>
  <c r="N26" i="11" s="1"/>
  <c r="K26" i="11"/>
  <c r="L26" i="11" s="1"/>
  <c r="O26" i="11" s="1"/>
  <c r="N108" i="10"/>
  <c r="O108" i="10" s="1"/>
  <c r="P108" i="10" s="1"/>
  <c r="L108" i="10"/>
  <c r="M108" i="10"/>
  <c r="M27" i="10"/>
  <c r="N27" i="10"/>
  <c r="O27" i="10" s="1"/>
  <c r="K27" i="10"/>
  <c r="L27" i="10"/>
  <c r="N107" i="9"/>
  <c r="O107" i="9" s="1"/>
  <c r="P107" i="9" s="1"/>
  <c r="L107" i="9"/>
  <c r="M107" i="9"/>
  <c r="M26" i="9"/>
  <c r="N26" i="9" s="1"/>
  <c r="K26" i="9"/>
  <c r="L26" i="9" s="1"/>
  <c r="N106" i="8"/>
  <c r="O106" i="8" s="1"/>
  <c r="L106" i="8"/>
  <c r="M106" i="8"/>
  <c r="M25" i="8"/>
  <c r="N25" i="8" s="1"/>
  <c r="O25" i="8" s="1"/>
  <c r="K25" i="8"/>
  <c r="L25" i="8" s="1"/>
  <c r="N108" i="7"/>
  <c r="O108" i="7" s="1"/>
  <c r="P108" i="7" s="1"/>
  <c r="L108" i="7"/>
  <c r="M108" i="7" s="1"/>
  <c r="M27" i="7"/>
  <c r="N27" i="7"/>
  <c r="O27" i="7" s="1"/>
  <c r="K27" i="7"/>
  <c r="L27" i="7" s="1"/>
  <c r="M25" i="6"/>
  <c r="N25" i="6"/>
  <c r="O25" i="6" s="1"/>
  <c r="K25" i="6"/>
  <c r="L25" i="6"/>
  <c r="N106" i="6"/>
  <c r="O106" i="6"/>
  <c r="L106" i="6"/>
  <c r="M106" i="6"/>
  <c r="N105" i="5"/>
  <c r="O105" i="5" s="1"/>
  <c r="L105" i="5"/>
  <c r="M105" i="5" s="1"/>
  <c r="M24" i="5"/>
  <c r="N24" i="5" s="1"/>
  <c r="K24" i="5"/>
  <c r="L24" i="5" s="1"/>
  <c r="N105" i="4"/>
  <c r="L105" i="4"/>
  <c r="M105" i="4" s="1"/>
  <c r="M24" i="4"/>
  <c r="N24" i="4" s="1"/>
  <c r="K24" i="4"/>
  <c r="L24" i="4" s="1"/>
  <c r="O24" i="4" s="1"/>
  <c r="M24" i="3"/>
  <c r="N24" i="3" s="1"/>
  <c r="K24" i="3"/>
  <c r="L24" i="3" s="1"/>
  <c r="O24" i="3" s="1"/>
  <c r="N105" i="3"/>
  <c r="O105" i="3"/>
  <c r="P105" i="3"/>
  <c r="L105" i="3"/>
  <c r="M105" i="3"/>
  <c r="P38" i="17"/>
  <c r="P37" i="17"/>
  <c r="P36" i="17"/>
  <c r="P1" i="40"/>
  <c r="P83" i="40" s="1"/>
  <c r="P1" i="39"/>
  <c r="P83" i="39" s="1"/>
  <c r="P1" i="38"/>
  <c r="P83" i="38" s="1"/>
  <c r="P1" i="37"/>
  <c r="P83" i="37" s="1"/>
  <c r="P154" i="40"/>
  <c r="O154" i="40"/>
  <c r="M154" i="40"/>
  <c r="J154" i="40"/>
  <c r="P153" i="40"/>
  <c r="O153" i="40"/>
  <c r="M153" i="40"/>
  <c r="J153" i="40"/>
  <c r="P152" i="40"/>
  <c r="O152" i="40"/>
  <c r="M152" i="40"/>
  <c r="J152" i="40"/>
  <c r="P151" i="40"/>
  <c r="O151" i="40"/>
  <c r="M151" i="40"/>
  <c r="J151" i="40"/>
  <c r="P150" i="40"/>
  <c r="O150" i="40"/>
  <c r="M150" i="40"/>
  <c r="J150" i="40"/>
  <c r="P149" i="40"/>
  <c r="O149" i="40"/>
  <c r="M149" i="40"/>
  <c r="J149" i="40"/>
  <c r="P148" i="40"/>
  <c r="O148" i="40"/>
  <c r="M148" i="40"/>
  <c r="J148" i="40"/>
  <c r="P147" i="40"/>
  <c r="O147" i="40"/>
  <c r="M147" i="40"/>
  <c r="J147" i="40"/>
  <c r="P146" i="40"/>
  <c r="O146" i="40"/>
  <c r="M146" i="40"/>
  <c r="J146" i="40"/>
  <c r="P145" i="40"/>
  <c r="O145" i="40"/>
  <c r="M145" i="40"/>
  <c r="J145" i="40"/>
  <c r="P144" i="40"/>
  <c r="O144" i="40"/>
  <c r="M144" i="40"/>
  <c r="J144" i="40"/>
  <c r="P143" i="40"/>
  <c r="O143" i="40"/>
  <c r="M143" i="40"/>
  <c r="J143" i="40"/>
  <c r="P142" i="40"/>
  <c r="O142" i="40"/>
  <c r="M142" i="40"/>
  <c r="J142" i="40"/>
  <c r="P141" i="40"/>
  <c r="O141" i="40"/>
  <c r="M141" i="40"/>
  <c r="J141" i="40"/>
  <c r="P140" i="40"/>
  <c r="O140" i="40"/>
  <c r="M140" i="40"/>
  <c r="J140" i="40"/>
  <c r="P139" i="40"/>
  <c r="O139" i="40"/>
  <c r="M139" i="40"/>
  <c r="J139" i="40"/>
  <c r="P138" i="40"/>
  <c r="O138" i="40"/>
  <c r="M138" i="40"/>
  <c r="J138" i="40"/>
  <c r="P137" i="40"/>
  <c r="O137" i="40"/>
  <c r="M137" i="40"/>
  <c r="J137" i="40"/>
  <c r="P136" i="40"/>
  <c r="O136" i="40"/>
  <c r="M136" i="40"/>
  <c r="J136" i="40"/>
  <c r="P135" i="40"/>
  <c r="O135" i="40"/>
  <c r="M135" i="40"/>
  <c r="J135" i="40"/>
  <c r="P134" i="40"/>
  <c r="O134" i="40"/>
  <c r="M134" i="40"/>
  <c r="J134" i="40"/>
  <c r="P133" i="40"/>
  <c r="O133" i="40"/>
  <c r="M133" i="40"/>
  <c r="J133" i="40"/>
  <c r="P132" i="40"/>
  <c r="O132" i="40"/>
  <c r="M132" i="40"/>
  <c r="J132" i="40"/>
  <c r="P131" i="40"/>
  <c r="O131" i="40"/>
  <c r="M131" i="40"/>
  <c r="J131" i="40"/>
  <c r="O130" i="40"/>
  <c r="M130" i="40"/>
  <c r="O129" i="40"/>
  <c r="M129" i="40"/>
  <c r="O128" i="40"/>
  <c r="M128" i="40"/>
  <c r="O127" i="40"/>
  <c r="M127" i="40"/>
  <c r="O126" i="40"/>
  <c r="M126" i="40"/>
  <c r="O125" i="40"/>
  <c r="M125" i="40"/>
  <c r="O124" i="40"/>
  <c r="M124" i="40"/>
  <c r="O123" i="40"/>
  <c r="M123" i="40"/>
  <c r="O122" i="40"/>
  <c r="M122" i="40"/>
  <c r="O121" i="40"/>
  <c r="M121" i="40"/>
  <c r="O120" i="40"/>
  <c r="M120" i="40"/>
  <c r="O119" i="40"/>
  <c r="M119" i="40"/>
  <c r="O118" i="40"/>
  <c r="M118" i="40"/>
  <c r="O117" i="40"/>
  <c r="M117" i="40"/>
  <c r="O116" i="40"/>
  <c r="M116" i="40"/>
  <c r="O115" i="40"/>
  <c r="P115" i="40" s="1"/>
  <c r="M115" i="40"/>
  <c r="O114" i="40"/>
  <c r="M114" i="40"/>
  <c r="O113" i="40"/>
  <c r="M113" i="40"/>
  <c r="O112" i="40"/>
  <c r="M112" i="40"/>
  <c r="O111" i="40"/>
  <c r="M111" i="40"/>
  <c r="O110" i="40"/>
  <c r="M110" i="40"/>
  <c r="P110" i="40" s="1"/>
  <c r="O109" i="40"/>
  <c r="M109" i="40"/>
  <c r="O108" i="40"/>
  <c r="M108" i="40"/>
  <c r="O107" i="40"/>
  <c r="M107" i="40"/>
  <c r="O106" i="40"/>
  <c r="M106" i="40"/>
  <c r="O105" i="40"/>
  <c r="M105" i="40"/>
  <c r="O104" i="40"/>
  <c r="M104" i="40"/>
  <c r="O103" i="40"/>
  <c r="M103" i="40"/>
  <c r="O102" i="40"/>
  <c r="M102" i="40"/>
  <c r="P102" i="40" s="1"/>
  <c r="O101" i="40"/>
  <c r="M101" i="40"/>
  <c r="O100" i="40"/>
  <c r="M100" i="40"/>
  <c r="O99" i="40"/>
  <c r="M99" i="40"/>
  <c r="P99" i="40" s="1"/>
  <c r="D96" i="40"/>
  <c r="L93" i="40"/>
  <c r="J93" i="40"/>
  <c r="D91" i="40"/>
  <c r="D89" i="40"/>
  <c r="N72" i="40"/>
  <c r="L72" i="40"/>
  <c r="N71" i="40"/>
  <c r="L71" i="40"/>
  <c r="N70" i="40"/>
  <c r="L70" i="40"/>
  <c r="N69" i="40"/>
  <c r="L69" i="40"/>
  <c r="N68" i="40"/>
  <c r="L68" i="40"/>
  <c r="N67" i="40"/>
  <c r="L67" i="40"/>
  <c r="N66" i="40"/>
  <c r="L66" i="40"/>
  <c r="N65" i="40"/>
  <c r="L65" i="40"/>
  <c r="N64" i="40"/>
  <c r="L64" i="40"/>
  <c r="N63" i="40"/>
  <c r="L63" i="40"/>
  <c r="N62" i="40"/>
  <c r="L62" i="40"/>
  <c r="N61" i="40"/>
  <c r="L61" i="40"/>
  <c r="N60" i="40"/>
  <c r="L60" i="40"/>
  <c r="N59" i="40"/>
  <c r="L59" i="40"/>
  <c r="N58" i="40"/>
  <c r="L58" i="40"/>
  <c r="N57" i="40"/>
  <c r="L57" i="40"/>
  <c r="N56" i="40"/>
  <c r="L56" i="40"/>
  <c r="N55" i="40"/>
  <c r="L55" i="40"/>
  <c r="N54" i="40"/>
  <c r="L54" i="40"/>
  <c r="N53" i="40"/>
  <c r="L53" i="40"/>
  <c r="N52" i="40"/>
  <c r="L52" i="40"/>
  <c r="N51" i="40"/>
  <c r="L51" i="40"/>
  <c r="N50" i="40"/>
  <c r="L50" i="40"/>
  <c r="N49" i="40"/>
  <c r="L49" i="40"/>
  <c r="N48" i="40"/>
  <c r="L48" i="40"/>
  <c r="N47" i="40"/>
  <c r="L47" i="40"/>
  <c r="N46" i="40"/>
  <c r="L46" i="40"/>
  <c r="N45" i="40"/>
  <c r="L45" i="40"/>
  <c r="N44" i="40"/>
  <c r="L44" i="40"/>
  <c r="N43" i="40"/>
  <c r="L43" i="40"/>
  <c r="N42" i="40"/>
  <c r="L42" i="40"/>
  <c r="N41" i="40"/>
  <c r="L41" i="40"/>
  <c r="N40" i="40"/>
  <c r="L40" i="40"/>
  <c r="N39" i="40"/>
  <c r="L39" i="40"/>
  <c r="N38" i="40"/>
  <c r="L38" i="40"/>
  <c r="N37" i="40"/>
  <c r="L37" i="40"/>
  <c r="N36" i="40"/>
  <c r="L36" i="40"/>
  <c r="N35" i="40"/>
  <c r="L35" i="40"/>
  <c r="N34" i="40"/>
  <c r="L34" i="40"/>
  <c r="N33" i="40"/>
  <c r="L33" i="40"/>
  <c r="N32" i="40"/>
  <c r="L32" i="40"/>
  <c r="N31" i="40"/>
  <c r="L31" i="40"/>
  <c r="N30" i="40"/>
  <c r="L30" i="40"/>
  <c r="N29" i="40"/>
  <c r="L29" i="40"/>
  <c r="N28" i="40"/>
  <c r="L28" i="40"/>
  <c r="N27" i="40"/>
  <c r="L27" i="40"/>
  <c r="N26" i="40"/>
  <c r="L26" i="40"/>
  <c r="N25" i="40"/>
  <c r="L25" i="40"/>
  <c r="N24" i="40"/>
  <c r="L24" i="40"/>
  <c r="N23" i="40"/>
  <c r="L23" i="40"/>
  <c r="N22" i="40"/>
  <c r="L22" i="40"/>
  <c r="N21" i="40"/>
  <c r="L21" i="40"/>
  <c r="N20" i="40"/>
  <c r="L20" i="40"/>
  <c r="N19" i="40"/>
  <c r="L19" i="40"/>
  <c r="L17" i="40"/>
  <c r="C17" i="40"/>
  <c r="C18" i="40"/>
  <c r="C19" i="40" s="1"/>
  <c r="C20" i="40" s="1"/>
  <c r="C21" i="40" s="1"/>
  <c r="C22" i="40" s="1"/>
  <c r="C23" i="40" s="1"/>
  <c r="C24" i="40" s="1"/>
  <c r="C25" i="40" s="1"/>
  <c r="C26" i="40" s="1"/>
  <c r="C27" i="40" s="1"/>
  <c r="C28" i="40" s="1"/>
  <c r="C29" i="40" s="1"/>
  <c r="C30" i="40" s="1"/>
  <c r="C31" i="40" s="1"/>
  <c r="C32" i="40" s="1"/>
  <c r="C33" i="40" s="1"/>
  <c r="C34" i="40" s="1"/>
  <c r="C35" i="40" s="1"/>
  <c r="C36" i="40" s="1"/>
  <c r="C37" i="40" s="1"/>
  <c r="C38" i="40" s="1"/>
  <c r="C39" i="40" s="1"/>
  <c r="C40" i="40" s="1"/>
  <c r="C41" i="40" s="1"/>
  <c r="C42" i="40" s="1"/>
  <c r="C43" i="40" s="1"/>
  <c r="C44" i="40" s="1"/>
  <c r="C45" i="40" s="1"/>
  <c r="C46" i="40" s="1"/>
  <c r="C47" i="40" s="1"/>
  <c r="C48" i="40" s="1"/>
  <c r="C49" i="40" s="1"/>
  <c r="C50" i="40" s="1"/>
  <c r="C51" i="40" s="1"/>
  <c r="C52" i="40" s="1"/>
  <c r="C53" i="40" s="1"/>
  <c r="C54" i="40" s="1"/>
  <c r="C55" i="40" s="1"/>
  <c r="C56" i="40" s="1"/>
  <c r="C57" i="40" s="1"/>
  <c r="C58" i="40" s="1"/>
  <c r="C59" i="40" s="1"/>
  <c r="C60" i="40" s="1"/>
  <c r="C61" i="40" s="1"/>
  <c r="C62" i="40" s="1"/>
  <c r="C63" i="40" s="1"/>
  <c r="C64" i="40" s="1"/>
  <c r="C65" i="40" s="1"/>
  <c r="C66" i="40" s="1"/>
  <c r="C67" i="40" s="1"/>
  <c r="C68" i="40" s="1"/>
  <c r="C69" i="40" s="1"/>
  <c r="C70" i="40" s="1"/>
  <c r="C71" i="40" s="1"/>
  <c r="C72" i="40" s="1"/>
  <c r="K11" i="40"/>
  <c r="I11" i="40"/>
  <c r="D8" i="40"/>
  <c r="D90" i="40"/>
  <c r="P154" i="39"/>
  <c r="O154" i="39"/>
  <c r="M154" i="39"/>
  <c r="J154" i="39"/>
  <c r="P153" i="39"/>
  <c r="O153" i="39"/>
  <c r="M153" i="39"/>
  <c r="J153" i="39"/>
  <c r="P152" i="39"/>
  <c r="O152" i="39"/>
  <c r="M152" i="39"/>
  <c r="J152" i="39"/>
  <c r="P151" i="39"/>
  <c r="O151" i="39"/>
  <c r="M151" i="39"/>
  <c r="J151" i="39"/>
  <c r="P150" i="39"/>
  <c r="O150" i="39"/>
  <c r="M150" i="39"/>
  <c r="J150" i="39"/>
  <c r="P149" i="39"/>
  <c r="O149" i="39"/>
  <c r="M149" i="39"/>
  <c r="J149" i="39"/>
  <c r="P148" i="39"/>
  <c r="O148" i="39"/>
  <c r="M148" i="39"/>
  <c r="J148" i="39"/>
  <c r="P147" i="39"/>
  <c r="O147" i="39"/>
  <c r="M147" i="39"/>
  <c r="J147" i="39"/>
  <c r="P146" i="39"/>
  <c r="O146" i="39"/>
  <c r="M146" i="39"/>
  <c r="J146" i="39"/>
  <c r="P145" i="39"/>
  <c r="O145" i="39"/>
  <c r="M145" i="39"/>
  <c r="J145" i="39"/>
  <c r="P144" i="39"/>
  <c r="O144" i="39"/>
  <c r="M144" i="39"/>
  <c r="J144" i="39"/>
  <c r="P143" i="39"/>
  <c r="O143" i="39"/>
  <c r="M143" i="39"/>
  <c r="J143" i="39"/>
  <c r="P142" i="39"/>
  <c r="O142" i="39"/>
  <c r="M142" i="39"/>
  <c r="J142" i="39"/>
  <c r="P141" i="39"/>
  <c r="O141" i="39"/>
  <c r="M141" i="39"/>
  <c r="J141" i="39"/>
  <c r="P140" i="39"/>
  <c r="O140" i="39"/>
  <c r="M140" i="39"/>
  <c r="J140" i="39"/>
  <c r="P139" i="39"/>
  <c r="O139" i="39"/>
  <c r="M139" i="39"/>
  <c r="J139" i="39"/>
  <c r="P138" i="39"/>
  <c r="O138" i="39"/>
  <c r="M138" i="39"/>
  <c r="J138" i="39"/>
  <c r="P137" i="39"/>
  <c r="O137" i="39"/>
  <c r="M137" i="39"/>
  <c r="J137" i="39"/>
  <c r="P136" i="39"/>
  <c r="O136" i="39"/>
  <c r="M136" i="39"/>
  <c r="J136" i="39"/>
  <c r="P135" i="39"/>
  <c r="O135" i="39"/>
  <c r="M135" i="39"/>
  <c r="J135" i="39"/>
  <c r="P134" i="39"/>
  <c r="O134" i="39"/>
  <c r="M134" i="39"/>
  <c r="J134" i="39"/>
  <c r="P133" i="39"/>
  <c r="O133" i="39"/>
  <c r="M133" i="39"/>
  <c r="J133" i="39"/>
  <c r="P132" i="39"/>
  <c r="O132" i="39"/>
  <c r="M132" i="39"/>
  <c r="J132" i="39"/>
  <c r="P131" i="39"/>
  <c r="O131" i="39"/>
  <c r="M131" i="39"/>
  <c r="J131" i="39"/>
  <c r="O130" i="39"/>
  <c r="M130" i="39"/>
  <c r="P130" i="39" s="1"/>
  <c r="O129" i="39"/>
  <c r="M129" i="39"/>
  <c r="O128" i="39"/>
  <c r="M128" i="39"/>
  <c r="O127" i="39"/>
  <c r="M127" i="39"/>
  <c r="O126" i="39"/>
  <c r="M126" i="39"/>
  <c r="P126" i="39" s="1"/>
  <c r="O125" i="39"/>
  <c r="M125" i="39"/>
  <c r="O124" i="39"/>
  <c r="M124" i="39"/>
  <c r="O123" i="39"/>
  <c r="M123" i="39"/>
  <c r="O122" i="39"/>
  <c r="M122" i="39"/>
  <c r="P122" i="39" s="1"/>
  <c r="O121" i="39"/>
  <c r="M121" i="39"/>
  <c r="O120" i="39"/>
  <c r="M120" i="39"/>
  <c r="O119" i="39"/>
  <c r="M119" i="39"/>
  <c r="O118" i="39"/>
  <c r="M118" i="39"/>
  <c r="P118" i="39" s="1"/>
  <c r="O117" i="39"/>
  <c r="M117" i="39"/>
  <c r="O116" i="39"/>
  <c r="M116" i="39"/>
  <c r="P116" i="39" s="1"/>
  <c r="O115" i="39"/>
  <c r="M115" i="39"/>
  <c r="O114" i="39"/>
  <c r="M114" i="39"/>
  <c r="O113" i="39"/>
  <c r="M113" i="39"/>
  <c r="O112" i="39"/>
  <c r="M112" i="39"/>
  <c r="O111" i="39"/>
  <c r="M111" i="39"/>
  <c r="O110" i="39"/>
  <c r="M110" i="39"/>
  <c r="P110" i="39" s="1"/>
  <c r="O109" i="39"/>
  <c r="M109" i="39"/>
  <c r="O108" i="39"/>
  <c r="M108" i="39"/>
  <c r="O107" i="39"/>
  <c r="M107" i="39"/>
  <c r="O106" i="39"/>
  <c r="M106" i="39"/>
  <c r="O105" i="39"/>
  <c r="M105" i="39"/>
  <c r="O104" i="39"/>
  <c r="M104" i="39"/>
  <c r="O103" i="39"/>
  <c r="M103" i="39"/>
  <c r="O102" i="39"/>
  <c r="M102" i="39"/>
  <c r="P102" i="39" s="1"/>
  <c r="O101" i="39"/>
  <c r="M101" i="39"/>
  <c r="O100" i="39"/>
  <c r="M100" i="39"/>
  <c r="D96" i="39"/>
  <c r="L93" i="39"/>
  <c r="J93" i="39"/>
  <c r="D91" i="39"/>
  <c r="D89" i="39"/>
  <c r="N72" i="39"/>
  <c r="L72" i="39"/>
  <c r="N71" i="39"/>
  <c r="L71" i="39"/>
  <c r="N70" i="39"/>
  <c r="L70" i="39"/>
  <c r="N69" i="39"/>
  <c r="L69" i="39"/>
  <c r="N68" i="39"/>
  <c r="L68" i="39"/>
  <c r="N67" i="39"/>
  <c r="L67" i="39"/>
  <c r="N66" i="39"/>
  <c r="L66" i="39"/>
  <c r="N65" i="39"/>
  <c r="L65" i="39"/>
  <c r="N64" i="39"/>
  <c r="L64" i="39"/>
  <c r="N63" i="39"/>
  <c r="L63" i="39"/>
  <c r="N62" i="39"/>
  <c r="L62" i="39"/>
  <c r="N61" i="39"/>
  <c r="L61" i="39"/>
  <c r="N60" i="39"/>
  <c r="L60" i="39"/>
  <c r="N59" i="39"/>
  <c r="L59" i="39"/>
  <c r="N58" i="39"/>
  <c r="L58" i="39"/>
  <c r="N57" i="39"/>
  <c r="L57" i="39"/>
  <c r="N56" i="39"/>
  <c r="L56" i="39"/>
  <c r="N55" i="39"/>
  <c r="L55" i="39"/>
  <c r="N54" i="39"/>
  <c r="L54" i="39"/>
  <c r="N53" i="39"/>
  <c r="L53" i="39"/>
  <c r="N52" i="39"/>
  <c r="L52" i="39"/>
  <c r="N51" i="39"/>
  <c r="L51" i="39"/>
  <c r="N50" i="39"/>
  <c r="L50" i="39"/>
  <c r="N49" i="39"/>
  <c r="L49" i="39"/>
  <c r="N48" i="39"/>
  <c r="L48" i="39"/>
  <c r="N47" i="39"/>
  <c r="L47" i="39"/>
  <c r="N46" i="39"/>
  <c r="L46" i="39"/>
  <c r="N45" i="39"/>
  <c r="L45" i="39"/>
  <c r="N44" i="39"/>
  <c r="L44" i="39"/>
  <c r="N43" i="39"/>
  <c r="L43" i="39"/>
  <c r="N42" i="39"/>
  <c r="L42" i="39"/>
  <c r="N41" i="39"/>
  <c r="L41" i="39"/>
  <c r="N40" i="39"/>
  <c r="L40" i="39"/>
  <c r="N39" i="39"/>
  <c r="L39" i="39"/>
  <c r="N38" i="39"/>
  <c r="L38" i="39"/>
  <c r="N37" i="39"/>
  <c r="L37" i="39"/>
  <c r="N36" i="39"/>
  <c r="L36" i="39"/>
  <c r="N35" i="39"/>
  <c r="L35" i="39"/>
  <c r="N34" i="39"/>
  <c r="L34" i="39"/>
  <c r="N33" i="39"/>
  <c r="L33" i="39"/>
  <c r="N32" i="39"/>
  <c r="L32" i="39"/>
  <c r="N31" i="39"/>
  <c r="L31" i="39"/>
  <c r="N30" i="39"/>
  <c r="L30" i="39"/>
  <c r="N29" i="39"/>
  <c r="L29" i="39"/>
  <c r="N28" i="39"/>
  <c r="L28" i="39"/>
  <c r="N27" i="39"/>
  <c r="L27" i="39"/>
  <c r="N26" i="39"/>
  <c r="L26" i="39"/>
  <c r="N25" i="39"/>
  <c r="L25" i="39"/>
  <c r="N24" i="39"/>
  <c r="L24" i="39"/>
  <c r="N23" i="39"/>
  <c r="L23" i="39"/>
  <c r="N22" i="39"/>
  <c r="L22" i="39"/>
  <c r="N21" i="39"/>
  <c r="L21" i="39"/>
  <c r="N20" i="39"/>
  <c r="L20" i="39"/>
  <c r="N17" i="39"/>
  <c r="L17" i="39"/>
  <c r="C17" i="39"/>
  <c r="C18" i="39" s="1"/>
  <c r="C19" i="39" s="1"/>
  <c r="C20" i="39" s="1"/>
  <c r="C21" i="39" s="1"/>
  <c r="C22" i="39" s="1"/>
  <c r="C23" i="39" s="1"/>
  <c r="C24" i="39" s="1"/>
  <c r="C25" i="39" s="1"/>
  <c r="C26" i="39" s="1"/>
  <c r="C27" i="39" s="1"/>
  <c r="C28" i="39" s="1"/>
  <c r="C29" i="39" s="1"/>
  <c r="C30" i="39" s="1"/>
  <c r="C31" i="39" s="1"/>
  <c r="C32" i="39" s="1"/>
  <c r="C33" i="39" s="1"/>
  <c r="C34" i="39" s="1"/>
  <c r="C35" i="39" s="1"/>
  <c r="C36" i="39" s="1"/>
  <c r="C37" i="39" s="1"/>
  <c r="C38" i="39" s="1"/>
  <c r="C39" i="39" s="1"/>
  <c r="C40" i="39" s="1"/>
  <c r="C41" i="39" s="1"/>
  <c r="C42" i="39" s="1"/>
  <c r="C43" i="39" s="1"/>
  <c r="C44" i="39" s="1"/>
  <c r="C45" i="39" s="1"/>
  <c r="C46" i="39" s="1"/>
  <c r="C47" i="39" s="1"/>
  <c r="C48" i="39" s="1"/>
  <c r="C49" i="39" s="1"/>
  <c r="C50" i="39" s="1"/>
  <c r="C51" i="39" s="1"/>
  <c r="C52" i="39" s="1"/>
  <c r="C53" i="39" s="1"/>
  <c r="C54" i="39" s="1"/>
  <c r="C55" i="39" s="1"/>
  <c r="C56" i="39" s="1"/>
  <c r="C57" i="39" s="1"/>
  <c r="C58" i="39" s="1"/>
  <c r="C59" i="39" s="1"/>
  <c r="C60" i="39" s="1"/>
  <c r="C61" i="39" s="1"/>
  <c r="C62" i="39" s="1"/>
  <c r="C63" i="39" s="1"/>
  <c r="C64" i="39" s="1"/>
  <c r="C65" i="39" s="1"/>
  <c r="C66" i="39" s="1"/>
  <c r="C67" i="39" s="1"/>
  <c r="C68" i="39" s="1"/>
  <c r="C69" i="39" s="1"/>
  <c r="C70" i="39" s="1"/>
  <c r="C71" i="39" s="1"/>
  <c r="C72" i="39" s="1"/>
  <c r="K11" i="39"/>
  <c r="I11" i="39"/>
  <c r="D8" i="39"/>
  <c r="D90" i="39" s="1"/>
  <c r="P154" i="38"/>
  <c r="O154" i="38"/>
  <c r="M154" i="38"/>
  <c r="J154" i="38"/>
  <c r="P153" i="38"/>
  <c r="O153" i="38"/>
  <c r="M153" i="38"/>
  <c r="J153" i="38"/>
  <c r="P152" i="38"/>
  <c r="O152" i="38"/>
  <c r="M152" i="38"/>
  <c r="J152" i="38"/>
  <c r="P151" i="38"/>
  <c r="O151" i="38"/>
  <c r="M151" i="38"/>
  <c r="J151" i="38"/>
  <c r="P150" i="38"/>
  <c r="O150" i="38"/>
  <c r="M150" i="38"/>
  <c r="J150" i="38"/>
  <c r="P149" i="38"/>
  <c r="O149" i="38"/>
  <c r="M149" i="38"/>
  <c r="J149" i="38"/>
  <c r="P148" i="38"/>
  <c r="O148" i="38"/>
  <c r="M148" i="38"/>
  <c r="J148" i="38"/>
  <c r="P147" i="38"/>
  <c r="O147" i="38"/>
  <c r="M147" i="38"/>
  <c r="J147" i="38"/>
  <c r="P146" i="38"/>
  <c r="O146" i="38"/>
  <c r="M146" i="38"/>
  <c r="J146" i="38"/>
  <c r="P145" i="38"/>
  <c r="O145" i="38"/>
  <c r="M145" i="38"/>
  <c r="J145" i="38"/>
  <c r="P144" i="38"/>
  <c r="O144" i="38"/>
  <c r="M144" i="38"/>
  <c r="J144" i="38"/>
  <c r="P143" i="38"/>
  <c r="O143" i="38"/>
  <c r="M143" i="38"/>
  <c r="J143" i="38"/>
  <c r="P142" i="38"/>
  <c r="O142" i="38"/>
  <c r="M142" i="38"/>
  <c r="J142" i="38"/>
  <c r="P141" i="38"/>
  <c r="O141" i="38"/>
  <c r="M141" i="38"/>
  <c r="J141" i="38"/>
  <c r="P140" i="38"/>
  <c r="O140" i="38"/>
  <c r="M140" i="38"/>
  <c r="J140" i="38"/>
  <c r="P139" i="38"/>
  <c r="O139" i="38"/>
  <c r="M139" i="38"/>
  <c r="J139" i="38"/>
  <c r="P138" i="38"/>
  <c r="O138" i="38"/>
  <c r="M138" i="38"/>
  <c r="J138" i="38"/>
  <c r="P137" i="38"/>
  <c r="O137" i="38"/>
  <c r="M137" i="38"/>
  <c r="J137" i="38"/>
  <c r="P136" i="38"/>
  <c r="O136" i="38"/>
  <c r="M136" i="38"/>
  <c r="J136" i="38"/>
  <c r="P135" i="38"/>
  <c r="O135" i="38"/>
  <c r="M135" i="38"/>
  <c r="J135" i="38"/>
  <c r="P134" i="38"/>
  <c r="O134" i="38"/>
  <c r="M134" i="38"/>
  <c r="J134" i="38"/>
  <c r="P133" i="38"/>
  <c r="O133" i="38"/>
  <c r="M133" i="38"/>
  <c r="J133" i="38"/>
  <c r="P132" i="38"/>
  <c r="O132" i="38"/>
  <c r="M132" i="38"/>
  <c r="J132" i="38"/>
  <c r="P131" i="38"/>
  <c r="O131" i="38"/>
  <c r="M131" i="38"/>
  <c r="J131" i="38"/>
  <c r="O130" i="38"/>
  <c r="M130" i="38"/>
  <c r="O129" i="38"/>
  <c r="M129" i="38"/>
  <c r="O128" i="38"/>
  <c r="M128" i="38"/>
  <c r="O127" i="38"/>
  <c r="M127" i="38"/>
  <c r="O126" i="38"/>
  <c r="M126" i="38"/>
  <c r="O125" i="38"/>
  <c r="M125" i="38"/>
  <c r="O124" i="38"/>
  <c r="M124" i="38"/>
  <c r="O123" i="38"/>
  <c r="M123" i="38"/>
  <c r="O122" i="38"/>
  <c r="M122" i="38"/>
  <c r="O121" i="38"/>
  <c r="M121" i="38"/>
  <c r="O120" i="38"/>
  <c r="M120" i="38"/>
  <c r="O119" i="38"/>
  <c r="M119" i="38"/>
  <c r="O118" i="38"/>
  <c r="M118" i="38"/>
  <c r="O117" i="38"/>
  <c r="M117" i="38"/>
  <c r="O116" i="38"/>
  <c r="M116" i="38"/>
  <c r="O115" i="38"/>
  <c r="M115" i="38"/>
  <c r="O114" i="38"/>
  <c r="M114" i="38"/>
  <c r="O113" i="38"/>
  <c r="M113" i="38"/>
  <c r="O112" i="38"/>
  <c r="M112" i="38"/>
  <c r="O111" i="38"/>
  <c r="M111" i="38"/>
  <c r="O110" i="38"/>
  <c r="M110" i="38"/>
  <c r="O109" i="38"/>
  <c r="M109" i="38"/>
  <c r="O108" i="38"/>
  <c r="M108" i="38"/>
  <c r="O107" i="38"/>
  <c r="M107" i="38"/>
  <c r="O106" i="38"/>
  <c r="M106" i="38"/>
  <c r="O105" i="38"/>
  <c r="M105" i="38"/>
  <c r="P105" i="38" s="1"/>
  <c r="O104" i="38"/>
  <c r="M104" i="38"/>
  <c r="O103" i="38"/>
  <c r="M103" i="38"/>
  <c r="O102" i="38"/>
  <c r="M102" i="38"/>
  <c r="O101" i="38"/>
  <c r="M101" i="38"/>
  <c r="O100" i="38"/>
  <c r="M100" i="38"/>
  <c r="D96" i="38"/>
  <c r="L93" i="38"/>
  <c r="J93" i="38"/>
  <c r="D91" i="38"/>
  <c r="D89" i="38"/>
  <c r="N72" i="38"/>
  <c r="L72" i="38"/>
  <c r="N71" i="38"/>
  <c r="L71" i="38"/>
  <c r="N70" i="38"/>
  <c r="L70" i="38"/>
  <c r="N69" i="38"/>
  <c r="L69" i="38"/>
  <c r="N68" i="38"/>
  <c r="L68" i="38"/>
  <c r="N67" i="38"/>
  <c r="L67" i="38"/>
  <c r="N66" i="38"/>
  <c r="L66" i="38"/>
  <c r="N65" i="38"/>
  <c r="L65" i="38"/>
  <c r="N64" i="38"/>
  <c r="L64" i="38"/>
  <c r="N63" i="38"/>
  <c r="L63" i="38"/>
  <c r="N62" i="38"/>
  <c r="L62" i="38"/>
  <c r="N61" i="38"/>
  <c r="L61" i="38"/>
  <c r="N60" i="38"/>
  <c r="L60" i="38"/>
  <c r="N59" i="38"/>
  <c r="L59" i="38"/>
  <c r="N58" i="38"/>
  <c r="L58" i="38"/>
  <c r="N57" i="38"/>
  <c r="L57" i="38"/>
  <c r="N56" i="38"/>
  <c r="L56" i="38"/>
  <c r="N55" i="38"/>
  <c r="L55" i="38"/>
  <c r="N54" i="38"/>
  <c r="L54" i="38"/>
  <c r="N53" i="38"/>
  <c r="L53" i="38"/>
  <c r="N52" i="38"/>
  <c r="L52" i="38"/>
  <c r="N51" i="38"/>
  <c r="L51" i="38"/>
  <c r="N50" i="38"/>
  <c r="L50" i="38"/>
  <c r="N49" i="38"/>
  <c r="L49" i="38"/>
  <c r="N48" i="38"/>
  <c r="L48" i="38"/>
  <c r="N47" i="38"/>
  <c r="L47" i="38"/>
  <c r="N46" i="38"/>
  <c r="L46" i="38"/>
  <c r="N45" i="38"/>
  <c r="L45" i="38"/>
  <c r="N44" i="38"/>
  <c r="L44" i="38"/>
  <c r="N43" i="38"/>
  <c r="L43" i="38"/>
  <c r="N42" i="38"/>
  <c r="L42" i="38"/>
  <c r="N41" i="38"/>
  <c r="L41" i="38"/>
  <c r="N40" i="38"/>
  <c r="L40" i="38"/>
  <c r="N39" i="38"/>
  <c r="L39" i="38"/>
  <c r="N38" i="38"/>
  <c r="L38" i="38"/>
  <c r="N37" i="38"/>
  <c r="L37" i="38"/>
  <c r="N36" i="38"/>
  <c r="L36" i="38"/>
  <c r="N35" i="38"/>
  <c r="L35" i="38"/>
  <c r="N34" i="38"/>
  <c r="L34" i="38"/>
  <c r="N33" i="38"/>
  <c r="L33" i="38"/>
  <c r="N32" i="38"/>
  <c r="L32" i="38"/>
  <c r="N31" i="38"/>
  <c r="L31" i="38"/>
  <c r="N30" i="38"/>
  <c r="L30" i="38"/>
  <c r="N29" i="38"/>
  <c r="L29" i="38"/>
  <c r="N28" i="38"/>
  <c r="L28" i="38"/>
  <c r="N27" i="38"/>
  <c r="L27" i="38"/>
  <c r="N26" i="38"/>
  <c r="L26" i="38"/>
  <c r="N25" i="38"/>
  <c r="L25" i="38"/>
  <c r="N24" i="38"/>
  <c r="L24" i="38"/>
  <c r="N23" i="38"/>
  <c r="L23" i="38"/>
  <c r="N22" i="38"/>
  <c r="L22" i="38"/>
  <c r="N21" i="38"/>
  <c r="L21" i="38"/>
  <c r="N20" i="38"/>
  <c r="L20" i="38"/>
  <c r="N17" i="38"/>
  <c r="L17" i="38"/>
  <c r="C18" i="38"/>
  <c r="C19" i="38" s="1"/>
  <c r="C20" i="38" s="1"/>
  <c r="C21" i="38" s="1"/>
  <c r="C22" i="38" s="1"/>
  <c r="C23" i="38" s="1"/>
  <c r="C24" i="38" s="1"/>
  <c r="C25" i="38" s="1"/>
  <c r="C26" i="38" s="1"/>
  <c r="C27" i="38" s="1"/>
  <c r="C28" i="38" s="1"/>
  <c r="C29" i="38" s="1"/>
  <c r="C30" i="38" s="1"/>
  <c r="C31" i="38" s="1"/>
  <c r="C32" i="38" s="1"/>
  <c r="C33" i="38" s="1"/>
  <c r="C34" i="38" s="1"/>
  <c r="C35" i="38" s="1"/>
  <c r="C36" i="38" s="1"/>
  <c r="C37" i="38" s="1"/>
  <c r="C38" i="38" s="1"/>
  <c r="C39" i="38" s="1"/>
  <c r="C40" i="38" s="1"/>
  <c r="C41" i="38" s="1"/>
  <c r="C42" i="38" s="1"/>
  <c r="C43" i="38" s="1"/>
  <c r="C44" i="38" s="1"/>
  <c r="C45" i="38" s="1"/>
  <c r="C46" i="38" s="1"/>
  <c r="C47" i="38" s="1"/>
  <c r="C48" i="38" s="1"/>
  <c r="C49" i="38" s="1"/>
  <c r="C50" i="38" s="1"/>
  <c r="C51" i="38" s="1"/>
  <c r="C52" i="38" s="1"/>
  <c r="C53" i="38" s="1"/>
  <c r="C54" i="38" s="1"/>
  <c r="C55" i="38" s="1"/>
  <c r="C56" i="38" s="1"/>
  <c r="C57" i="38" s="1"/>
  <c r="C58" i="38" s="1"/>
  <c r="C59" i="38" s="1"/>
  <c r="C60" i="38" s="1"/>
  <c r="C61" i="38" s="1"/>
  <c r="C62" i="38" s="1"/>
  <c r="C63" i="38" s="1"/>
  <c r="C64" i="38" s="1"/>
  <c r="C65" i="38" s="1"/>
  <c r="C66" i="38" s="1"/>
  <c r="C67" i="38" s="1"/>
  <c r="C68" i="38" s="1"/>
  <c r="C69" i="38" s="1"/>
  <c r="C70" i="38" s="1"/>
  <c r="C71" i="38" s="1"/>
  <c r="C72" i="38" s="1"/>
  <c r="K11" i="38"/>
  <c r="I11" i="38"/>
  <c r="D8" i="38"/>
  <c r="D90" i="38" s="1"/>
  <c r="W38" i="17"/>
  <c r="W37" i="17"/>
  <c r="W36" i="17"/>
  <c r="W35" i="17"/>
  <c r="P35" i="17"/>
  <c r="P154" i="37"/>
  <c r="O154" i="37"/>
  <c r="M154" i="37"/>
  <c r="J154" i="37"/>
  <c r="P153" i="37"/>
  <c r="O153" i="37"/>
  <c r="M153" i="37"/>
  <c r="J153" i="37"/>
  <c r="P152" i="37"/>
  <c r="O152" i="37"/>
  <c r="M152" i="37"/>
  <c r="J152" i="37"/>
  <c r="P151" i="37"/>
  <c r="O151" i="37"/>
  <c r="M151" i="37"/>
  <c r="J151" i="37"/>
  <c r="P150" i="37"/>
  <c r="O150" i="37"/>
  <c r="M150" i="37"/>
  <c r="J150" i="37"/>
  <c r="P149" i="37"/>
  <c r="O149" i="37"/>
  <c r="M149" i="37"/>
  <c r="J149" i="37"/>
  <c r="P148" i="37"/>
  <c r="O148" i="37"/>
  <c r="M148" i="37"/>
  <c r="J148" i="37"/>
  <c r="P147" i="37"/>
  <c r="O147" i="37"/>
  <c r="M147" i="37"/>
  <c r="J147" i="37"/>
  <c r="P146" i="37"/>
  <c r="O146" i="37"/>
  <c r="M146" i="37"/>
  <c r="J146" i="37"/>
  <c r="P145" i="37"/>
  <c r="O145" i="37"/>
  <c r="M145" i="37"/>
  <c r="J145" i="37"/>
  <c r="P144" i="37"/>
  <c r="O144" i="37"/>
  <c r="M144" i="37"/>
  <c r="J144" i="37"/>
  <c r="P143" i="37"/>
  <c r="O143" i="37"/>
  <c r="M143" i="37"/>
  <c r="J143" i="37"/>
  <c r="P142" i="37"/>
  <c r="O142" i="37"/>
  <c r="M142" i="37"/>
  <c r="J142" i="37"/>
  <c r="P141" i="37"/>
  <c r="O141" i="37"/>
  <c r="M141" i="37"/>
  <c r="J141" i="37"/>
  <c r="P140" i="37"/>
  <c r="O140" i="37"/>
  <c r="M140" i="37"/>
  <c r="J140" i="37"/>
  <c r="P139" i="37"/>
  <c r="O139" i="37"/>
  <c r="M139" i="37"/>
  <c r="J139" i="37"/>
  <c r="P138" i="37"/>
  <c r="O138" i="37"/>
  <c r="M138" i="37"/>
  <c r="J138" i="37"/>
  <c r="P137" i="37"/>
  <c r="O137" i="37"/>
  <c r="M137" i="37"/>
  <c r="J137" i="37"/>
  <c r="P136" i="37"/>
  <c r="O136" i="37"/>
  <c r="M136" i="37"/>
  <c r="J136" i="37"/>
  <c r="P135" i="37"/>
  <c r="O135" i="37"/>
  <c r="M135" i="37"/>
  <c r="J135" i="37"/>
  <c r="P134" i="37"/>
  <c r="O134" i="37"/>
  <c r="M134" i="37"/>
  <c r="J134" i="37"/>
  <c r="P133" i="37"/>
  <c r="O133" i="37"/>
  <c r="M133" i="37"/>
  <c r="J133" i="37"/>
  <c r="P132" i="37"/>
  <c r="O132" i="37"/>
  <c r="M132" i="37"/>
  <c r="J132" i="37"/>
  <c r="P131" i="37"/>
  <c r="O131" i="37"/>
  <c r="M131" i="37"/>
  <c r="J131" i="37"/>
  <c r="O130" i="37"/>
  <c r="M130" i="37"/>
  <c r="O129" i="37"/>
  <c r="M129" i="37"/>
  <c r="O128" i="37"/>
  <c r="M128" i="37"/>
  <c r="O127" i="37"/>
  <c r="M127" i="37"/>
  <c r="O126" i="37"/>
  <c r="M126" i="37"/>
  <c r="O125" i="37"/>
  <c r="M125" i="37"/>
  <c r="O124" i="37"/>
  <c r="M124" i="37"/>
  <c r="O123" i="37"/>
  <c r="M123" i="37"/>
  <c r="O122" i="37"/>
  <c r="M122" i="37"/>
  <c r="O121" i="37"/>
  <c r="M121" i="37"/>
  <c r="O120" i="37"/>
  <c r="M120" i="37"/>
  <c r="O119" i="37"/>
  <c r="M119" i="37"/>
  <c r="O118" i="37"/>
  <c r="M118" i="37"/>
  <c r="O117" i="37"/>
  <c r="M117" i="37"/>
  <c r="O116" i="37"/>
  <c r="M116" i="37"/>
  <c r="O115" i="37"/>
  <c r="M115" i="37"/>
  <c r="O114" i="37"/>
  <c r="M114" i="37"/>
  <c r="O113" i="37"/>
  <c r="M113" i="37"/>
  <c r="O112" i="37"/>
  <c r="M112" i="37"/>
  <c r="O111" i="37"/>
  <c r="M111" i="37"/>
  <c r="P111" i="37" s="1"/>
  <c r="O110" i="37"/>
  <c r="M110" i="37"/>
  <c r="O109" i="37"/>
  <c r="M109" i="37"/>
  <c r="O108" i="37"/>
  <c r="M108" i="37"/>
  <c r="O107" i="37"/>
  <c r="M107" i="37"/>
  <c r="O106" i="37"/>
  <c r="M106" i="37"/>
  <c r="O105" i="37"/>
  <c r="M105" i="37"/>
  <c r="O104" i="37"/>
  <c r="M104" i="37"/>
  <c r="O103" i="37"/>
  <c r="M103" i="37"/>
  <c r="O102" i="37"/>
  <c r="M102" i="37"/>
  <c r="O101" i="37"/>
  <c r="M101" i="37"/>
  <c r="O100" i="37"/>
  <c r="M100" i="37"/>
  <c r="D96" i="37"/>
  <c r="L93" i="37"/>
  <c r="J93" i="37"/>
  <c r="D91" i="37"/>
  <c r="D89" i="37"/>
  <c r="N72" i="37"/>
  <c r="L72" i="37"/>
  <c r="N71" i="37"/>
  <c r="L71" i="37"/>
  <c r="N70" i="37"/>
  <c r="L70" i="37"/>
  <c r="N69" i="37"/>
  <c r="L69" i="37"/>
  <c r="N68" i="37"/>
  <c r="L68" i="37"/>
  <c r="N67" i="37"/>
  <c r="L67" i="37"/>
  <c r="O67" i="37" s="1"/>
  <c r="N66" i="37"/>
  <c r="L66" i="37"/>
  <c r="N65" i="37"/>
  <c r="L65" i="37"/>
  <c r="N64" i="37"/>
  <c r="O64" i="37" s="1"/>
  <c r="L64" i="37"/>
  <c r="N63" i="37"/>
  <c r="L63" i="37"/>
  <c r="N62" i="37"/>
  <c r="O62" i="37" s="1"/>
  <c r="L62" i="37"/>
  <c r="N61" i="37"/>
  <c r="L61" i="37"/>
  <c r="N60" i="37"/>
  <c r="L60" i="37"/>
  <c r="N59" i="37"/>
  <c r="L59" i="37"/>
  <c r="N58" i="37"/>
  <c r="L58" i="37"/>
  <c r="N57" i="37"/>
  <c r="L57" i="37"/>
  <c r="N56" i="37"/>
  <c r="L56" i="37"/>
  <c r="N55" i="37"/>
  <c r="L55" i="37"/>
  <c r="N54" i="37"/>
  <c r="O54" i="37" s="1"/>
  <c r="L54" i="37"/>
  <c r="N53" i="37"/>
  <c r="L53" i="37"/>
  <c r="N52" i="37"/>
  <c r="O52" i="37" s="1"/>
  <c r="L52" i="37"/>
  <c r="N51" i="37"/>
  <c r="L51" i="37"/>
  <c r="N50" i="37"/>
  <c r="L50" i="37"/>
  <c r="N49" i="37"/>
  <c r="L49" i="37"/>
  <c r="N48" i="37"/>
  <c r="L48" i="37"/>
  <c r="N47" i="37"/>
  <c r="L47" i="37"/>
  <c r="N46" i="37"/>
  <c r="L46" i="37"/>
  <c r="N45" i="37"/>
  <c r="L45" i="37"/>
  <c r="N44" i="37"/>
  <c r="L44" i="37"/>
  <c r="N43" i="37"/>
  <c r="L43" i="37"/>
  <c r="N42" i="37"/>
  <c r="L42" i="37"/>
  <c r="N41" i="37"/>
  <c r="L41" i="37"/>
  <c r="N40" i="37"/>
  <c r="L40" i="37"/>
  <c r="N39" i="37"/>
  <c r="L39" i="37"/>
  <c r="N38" i="37"/>
  <c r="O38" i="37" s="1"/>
  <c r="L38" i="37"/>
  <c r="N37" i="37"/>
  <c r="L37" i="37"/>
  <c r="N36" i="37"/>
  <c r="L36" i="37"/>
  <c r="N35" i="37"/>
  <c r="L35" i="37"/>
  <c r="N34" i="37"/>
  <c r="L34" i="37"/>
  <c r="N33" i="37"/>
  <c r="L33" i="37"/>
  <c r="N32" i="37"/>
  <c r="L32" i="37"/>
  <c r="N31" i="37"/>
  <c r="L31" i="37"/>
  <c r="N30" i="37"/>
  <c r="L30" i="37"/>
  <c r="N29" i="37"/>
  <c r="L29" i="37"/>
  <c r="N28" i="37"/>
  <c r="L28" i="37"/>
  <c r="N27" i="37"/>
  <c r="L27" i="37"/>
  <c r="N26" i="37"/>
  <c r="L26" i="37"/>
  <c r="N25" i="37"/>
  <c r="L25" i="37"/>
  <c r="N24" i="37"/>
  <c r="L24" i="37"/>
  <c r="N23" i="37"/>
  <c r="L23" i="37"/>
  <c r="N22" i="37"/>
  <c r="L22" i="37"/>
  <c r="N21" i="37"/>
  <c r="L21" i="37"/>
  <c r="N20" i="37"/>
  <c r="L20" i="37"/>
  <c r="N17" i="37"/>
  <c r="L17" i="37"/>
  <c r="C17" i="37"/>
  <c r="C18" i="37" s="1"/>
  <c r="C19" i="37" s="1"/>
  <c r="C20" i="37" s="1"/>
  <c r="C21" i="37" s="1"/>
  <c r="C22" i="37" s="1"/>
  <c r="C23" i="37" s="1"/>
  <c r="C24" i="37" s="1"/>
  <c r="C25" i="37" s="1"/>
  <c r="C26" i="37" s="1"/>
  <c r="C27" i="37" s="1"/>
  <c r="C28" i="37" s="1"/>
  <c r="C29" i="37" s="1"/>
  <c r="C30" i="37" s="1"/>
  <c r="C31" i="37" s="1"/>
  <c r="C32" i="37" s="1"/>
  <c r="C33" i="37" s="1"/>
  <c r="C34" i="37" s="1"/>
  <c r="C35" i="37" s="1"/>
  <c r="C36" i="37" s="1"/>
  <c r="C37" i="37" s="1"/>
  <c r="C38" i="37" s="1"/>
  <c r="C39" i="37" s="1"/>
  <c r="C40" i="37" s="1"/>
  <c r="C41" i="37" s="1"/>
  <c r="C42" i="37" s="1"/>
  <c r="C43" i="37" s="1"/>
  <c r="C44" i="37" s="1"/>
  <c r="K11" i="37"/>
  <c r="I11" i="37"/>
  <c r="D8" i="37"/>
  <c r="D90" i="37" s="1"/>
  <c r="S47" i="17"/>
  <c r="O47" i="17"/>
  <c r="N47" i="17"/>
  <c r="M47" i="17"/>
  <c r="H47" i="17"/>
  <c r="N99" i="31"/>
  <c r="O99" i="31"/>
  <c r="L99" i="31"/>
  <c r="M99" i="31"/>
  <c r="D96" i="31"/>
  <c r="M18" i="31"/>
  <c r="N18" i="31"/>
  <c r="K18" i="31"/>
  <c r="L18" i="31" s="1"/>
  <c r="M17" i="30"/>
  <c r="N17" i="30" s="1"/>
  <c r="K17" i="30"/>
  <c r="L17" i="30" s="1"/>
  <c r="N99" i="29"/>
  <c r="O99" i="29" s="1"/>
  <c r="L99" i="29"/>
  <c r="M99" i="29"/>
  <c r="M18" i="29"/>
  <c r="N18" i="29"/>
  <c r="K18" i="29"/>
  <c r="L18" i="29" s="1"/>
  <c r="N99" i="28"/>
  <c r="O99" i="28" s="1"/>
  <c r="P99" i="28" s="1"/>
  <c r="L99" i="28"/>
  <c r="M99" i="28" s="1"/>
  <c r="M18" i="28"/>
  <c r="N18" i="28" s="1"/>
  <c r="K18" i="28"/>
  <c r="L18" i="28"/>
  <c r="N103" i="25"/>
  <c r="O103" i="25" s="1"/>
  <c r="L103" i="25"/>
  <c r="M103" i="25" s="1"/>
  <c r="M22" i="25"/>
  <c r="N22" i="25" s="1"/>
  <c r="O22" i="25" s="1"/>
  <c r="K22" i="25"/>
  <c r="L22" i="25"/>
  <c r="N101" i="24"/>
  <c r="O101" i="24" s="1"/>
  <c r="L101" i="24"/>
  <c r="M101" i="24" s="1"/>
  <c r="M20" i="24"/>
  <c r="N20" i="24" s="1"/>
  <c r="O20" i="24" s="1"/>
  <c r="K20" i="24"/>
  <c r="L20" i="24" s="1"/>
  <c r="M21" i="23"/>
  <c r="N21" i="23" s="1"/>
  <c r="K21" i="23"/>
  <c r="L21" i="23" s="1"/>
  <c r="N102" i="23"/>
  <c r="O102" i="23"/>
  <c r="L102" i="23"/>
  <c r="M102" i="23" s="1"/>
  <c r="N103" i="22"/>
  <c r="O103" i="22"/>
  <c r="L103" i="22"/>
  <c r="M103" i="22"/>
  <c r="M22" i="22"/>
  <c r="N22" i="22" s="1"/>
  <c r="O22" i="22" s="1"/>
  <c r="K22" i="22"/>
  <c r="L22" i="22" s="1"/>
  <c r="N106" i="11"/>
  <c r="O106" i="11"/>
  <c r="L106" i="11"/>
  <c r="M106" i="11" s="1"/>
  <c r="M25" i="11"/>
  <c r="N25" i="11" s="1"/>
  <c r="O25" i="11" s="1"/>
  <c r="K25" i="11"/>
  <c r="L25" i="11" s="1"/>
  <c r="N107" i="10"/>
  <c r="O107" i="10" s="1"/>
  <c r="P107" i="10" s="1"/>
  <c r="L107" i="10"/>
  <c r="M107" i="10" s="1"/>
  <c r="M26" i="10"/>
  <c r="N26" i="10" s="1"/>
  <c r="O26" i="10" s="1"/>
  <c r="K26" i="10"/>
  <c r="L26" i="10" s="1"/>
  <c r="N106" i="9"/>
  <c r="O106" i="9" s="1"/>
  <c r="L106" i="9"/>
  <c r="M106" i="9" s="1"/>
  <c r="M25" i="9"/>
  <c r="N25" i="9" s="1"/>
  <c r="O25" i="9" s="1"/>
  <c r="K25" i="9"/>
  <c r="L25" i="9" s="1"/>
  <c r="N105" i="8"/>
  <c r="O105" i="8" s="1"/>
  <c r="L105" i="8"/>
  <c r="M105" i="8" s="1"/>
  <c r="M24" i="8"/>
  <c r="N24" i="8" s="1"/>
  <c r="O24" i="8" s="1"/>
  <c r="K24" i="8"/>
  <c r="N107" i="7"/>
  <c r="O107" i="7"/>
  <c r="L107" i="7"/>
  <c r="M107" i="7" s="1"/>
  <c r="M26" i="7"/>
  <c r="N26" i="7" s="1"/>
  <c r="K26" i="7"/>
  <c r="L26" i="7" s="1"/>
  <c r="N105" i="6"/>
  <c r="O105" i="6" s="1"/>
  <c r="L105" i="6"/>
  <c r="M105" i="6" s="1"/>
  <c r="M24" i="6"/>
  <c r="N24" i="6" s="1"/>
  <c r="O24" i="6" s="1"/>
  <c r="K24" i="6"/>
  <c r="L24" i="6" s="1"/>
  <c r="N104" i="5"/>
  <c r="O104" i="5" s="1"/>
  <c r="L104" i="5"/>
  <c r="M104" i="5" s="1"/>
  <c r="M23" i="5"/>
  <c r="N23" i="5" s="1"/>
  <c r="O23" i="5" s="1"/>
  <c r="K23" i="5"/>
  <c r="L23" i="5" s="1"/>
  <c r="N104" i="4"/>
  <c r="O104" i="4" s="1"/>
  <c r="L104" i="4"/>
  <c r="M104" i="4" s="1"/>
  <c r="M23" i="4"/>
  <c r="N23" i="4"/>
  <c r="O23" i="4" s="1"/>
  <c r="K23" i="4"/>
  <c r="L23" i="4" s="1"/>
  <c r="N104" i="3"/>
  <c r="O104" i="3" s="1"/>
  <c r="L104" i="3"/>
  <c r="M104" i="3" s="1"/>
  <c r="M23" i="3"/>
  <c r="N23" i="3" s="1"/>
  <c r="O23" i="3" s="1"/>
  <c r="K23" i="3"/>
  <c r="L23" i="3" s="1"/>
  <c r="N100" i="27"/>
  <c r="O100" i="27" s="1"/>
  <c r="L100" i="27"/>
  <c r="M100" i="27" s="1"/>
  <c r="N99" i="27"/>
  <c r="O99" i="27"/>
  <c r="P99" i="27" s="1"/>
  <c r="L99" i="27"/>
  <c r="M99" i="27"/>
  <c r="M19" i="27"/>
  <c r="N19" i="27" s="1"/>
  <c r="K19" i="27"/>
  <c r="L19" i="27" s="1"/>
  <c r="M17" i="31"/>
  <c r="N17" i="31" s="1"/>
  <c r="K17" i="31"/>
  <c r="L17" i="31"/>
  <c r="W34" i="17"/>
  <c r="P34" i="17"/>
  <c r="P154" i="31"/>
  <c r="O154" i="31"/>
  <c r="M154" i="31"/>
  <c r="P153" i="31"/>
  <c r="O153" i="31"/>
  <c r="M153" i="31"/>
  <c r="P152" i="31"/>
  <c r="O152" i="31"/>
  <c r="M152" i="31"/>
  <c r="P151" i="31"/>
  <c r="O151" i="31"/>
  <c r="M151" i="31"/>
  <c r="P150" i="31"/>
  <c r="O150" i="31"/>
  <c r="M150" i="31"/>
  <c r="P149" i="31"/>
  <c r="O149" i="31"/>
  <c r="M149" i="31"/>
  <c r="P148" i="31"/>
  <c r="O148" i="31"/>
  <c r="M148" i="31"/>
  <c r="P147" i="31"/>
  <c r="O147" i="31"/>
  <c r="M147" i="31"/>
  <c r="P146" i="31"/>
  <c r="O146" i="31"/>
  <c r="M146" i="31"/>
  <c r="P145" i="31"/>
  <c r="O145" i="31"/>
  <c r="M145" i="31"/>
  <c r="P144" i="31"/>
  <c r="O144" i="31"/>
  <c r="M144" i="31"/>
  <c r="P143" i="31"/>
  <c r="O143" i="31"/>
  <c r="M143" i="31"/>
  <c r="P142" i="31"/>
  <c r="O142" i="31"/>
  <c r="M142" i="31"/>
  <c r="P141" i="31"/>
  <c r="O141" i="31"/>
  <c r="M141" i="31"/>
  <c r="P140" i="31"/>
  <c r="O140" i="31"/>
  <c r="M140" i="31"/>
  <c r="P139" i="31"/>
  <c r="O139" i="31"/>
  <c r="M139" i="31"/>
  <c r="P138" i="31"/>
  <c r="O138" i="31"/>
  <c r="M138" i="31"/>
  <c r="P137" i="31"/>
  <c r="O137" i="31"/>
  <c r="M137" i="31"/>
  <c r="P136" i="31"/>
  <c r="O136" i="31"/>
  <c r="M136" i="31"/>
  <c r="P135" i="31"/>
  <c r="O135" i="31"/>
  <c r="M135" i="31"/>
  <c r="P134" i="31"/>
  <c r="O134" i="31"/>
  <c r="M134" i="31"/>
  <c r="P133" i="31"/>
  <c r="O133" i="31"/>
  <c r="M133" i="31"/>
  <c r="P132" i="31"/>
  <c r="O132" i="31"/>
  <c r="M132" i="31"/>
  <c r="P131" i="31"/>
  <c r="O131" i="31"/>
  <c r="M131" i="31"/>
  <c r="O130" i="31"/>
  <c r="M130" i="31"/>
  <c r="O129" i="31"/>
  <c r="M129" i="31"/>
  <c r="O128" i="31"/>
  <c r="M128" i="31"/>
  <c r="O127" i="31"/>
  <c r="M127" i="31"/>
  <c r="O126" i="31"/>
  <c r="M126" i="31"/>
  <c r="O125" i="31"/>
  <c r="M125" i="31"/>
  <c r="O124" i="31"/>
  <c r="M124" i="31"/>
  <c r="O123" i="31"/>
  <c r="M123" i="31"/>
  <c r="O122" i="31"/>
  <c r="M122" i="31"/>
  <c r="O121" i="31"/>
  <c r="M121" i="31"/>
  <c r="O120" i="31"/>
  <c r="M120" i="31"/>
  <c r="O119" i="31"/>
  <c r="M119" i="31"/>
  <c r="O118" i="31"/>
  <c r="M118" i="31"/>
  <c r="O117" i="31"/>
  <c r="M117" i="31"/>
  <c r="O116" i="31"/>
  <c r="M116" i="31"/>
  <c r="O115" i="31"/>
  <c r="M115" i="31"/>
  <c r="O114" i="31"/>
  <c r="M114" i="31"/>
  <c r="O113" i="31"/>
  <c r="M113" i="31"/>
  <c r="O112" i="31"/>
  <c r="M112" i="31"/>
  <c r="O111" i="31"/>
  <c r="M111" i="31"/>
  <c r="O110" i="31"/>
  <c r="M110" i="31"/>
  <c r="O109" i="31"/>
  <c r="M109" i="31"/>
  <c r="O108" i="31"/>
  <c r="M108" i="31"/>
  <c r="O107" i="31"/>
  <c r="M107" i="31"/>
  <c r="O106" i="31"/>
  <c r="M106" i="31"/>
  <c r="O105" i="31"/>
  <c r="M105" i="31"/>
  <c r="O104" i="31"/>
  <c r="M104" i="31"/>
  <c r="O103" i="31"/>
  <c r="M103" i="31"/>
  <c r="L93" i="31"/>
  <c r="J93" i="31"/>
  <c r="E91" i="31"/>
  <c r="D91" i="31"/>
  <c r="D89" i="31"/>
  <c r="N72" i="31"/>
  <c r="L72" i="31"/>
  <c r="N71" i="31"/>
  <c r="L71" i="31"/>
  <c r="N70" i="31"/>
  <c r="L70" i="31"/>
  <c r="N69" i="31"/>
  <c r="L69" i="31"/>
  <c r="N68" i="31"/>
  <c r="L68" i="31"/>
  <c r="N67" i="31"/>
  <c r="L67" i="31"/>
  <c r="N66" i="31"/>
  <c r="L66" i="31"/>
  <c r="N65" i="31"/>
  <c r="L65" i="31"/>
  <c r="N64" i="31"/>
  <c r="L64" i="31"/>
  <c r="N63" i="31"/>
  <c r="L63" i="31"/>
  <c r="N62" i="31"/>
  <c r="L62" i="31"/>
  <c r="N61" i="31"/>
  <c r="L61" i="31"/>
  <c r="N60" i="31"/>
  <c r="L60" i="31"/>
  <c r="N59" i="31"/>
  <c r="L59" i="31"/>
  <c r="N58" i="31"/>
  <c r="L58" i="31"/>
  <c r="N57" i="31"/>
  <c r="L57" i="31"/>
  <c r="N56" i="31"/>
  <c r="L56" i="31"/>
  <c r="N55" i="31"/>
  <c r="L55" i="31"/>
  <c r="N54" i="31"/>
  <c r="L54" i="31"/>
  <c r="N53" i="31"/>
  <c r="L53" i="31"/>
  <c r="N52" i="31"/>
  <c r="L52" i="31"/>
  <c r="N51" i="31"/>
  <c r="L51" i="31"/>
  <c r="N50" i="31"/>
  <c r="L50" i="31"/>
  <c r="N49" i="31"/>
  <c r="L49" i="31"/>
  <c r="N48" i="31"/>
  <c r="L48" i="31"/>
  <c r="N47" i="31"/>
  <c r="L47" i="31"/>
  <c r="N46" i="31"/>
  <c r="L46" i="31"/>
  <c r="N45" i="31"/>
  <c r="L45" i="31"/>
  <c r="N44" i="31"/>
  <c r="L44" i="31"/>
  <c r="N43" i="31"/>
  <c r="L43" i="31"/>
  <c r="N42" i="31"/>
  <c r="L42" i="31"/>
  <c r="N41" i="31"/>
  <c r="L41" i="31"/>
  <c r="N40" i="31"/>
  <c r="L40" i="31"/>
  <c r="N39" i="31"/>
  <c r="L39" i="31"/>
  <c r="N38" i="31"/>
  <c r="L38" i="31"/>
  <c r="N37" i="31"/>
  <c r="L37" i="31"/>
  <c r="N36" i="31"/>
  <c r="L36" i="31"/>
  <c r="N35" i="31"/>
  <c r="L35" i="31"/>
  <c r="N34" i="31"/>
  <c r="L34" i="31"/>
  <c r="N33" i="31"/>
  <c r="L33" i="31"/>
  <c r="N32" i="31"/>
  <c r="L32" i="31"/>
  <c r="N31" i="31"/>
  <c r="L31" i="31"/>
  <c r="N30" i="31"/>
  <c r="L30" i="31"/>
  <c r="N29" i="31"/>
  <c r="L29" i="31"/>
  <c r="N28" i="31"/>
  <c r="L28" i="31"/>
  <c r="N27" i="31"/>
  <c r="L27" i="31"/>
  <c r="N26" i="31"/>
  <c r="L26" i="31"/>
  <c r="N25" i="31"/>
  <c r="L25" i="31"/>
  <c r="N24" i="31"/>
  <c r="L24" i="31"/>
  <c r="N23" i="31"/>
  <c r="L23" i="31"/>
  <c r="C17" i="31"/>
  <c r="C18" i="31" s="1"/>
  <c r="C19" i="31" s="1"/>
  <c r="C20" i="31" s="1"/>
  <c r="C21" i="31" s="1"/>
  <c r="C22" i="31" s="1"/>
  <c r="C23" i="31" s="1"/>
  <c r="C24" i="31" s="1"/>
  <c r="C25" i="31" s="1"/>
  <c r="C26" i="31" s="1"/>
  <c r="C27" i="31" s="1"/>
  <c r="C28" i="31" s="1"/>
  <c r="C29" i="31" s="1"/>
  <c r="C30" i="31" s="1"/>
  <c r="C31" i="31" s="1"/>
  <c r="C32" i="31" s="1"/>
  <c r="C33" i="31" s="1"/>
  <c r="C34" i="31" s="1"/>
  <c r="C35" i="31" s="1"/>
  <c r="C36" i="31" s="1"/>
  <c r="C37" i="31" s="1"/>
  <c r="C38" i="31" s="1"/>
  <c r="C39" i="31" s="1"/>
  <c r="C40" i="31" s="1"/>
  <c r="C41" i="31" s="1"/>
  <c r="C42" i="31" s="1"/>
  <c r="C43" i="31" s="1"/>
  <c r="C44" i="31" s="1"/>
  <c r="K11" i="31"/>
  <c r="I11" i="31"/>
  <c r="P1" i="31"/>
  <c r="P83" i="31" s="1"/>
  <c r="P154" i="30"/>
  <c r="O154" i="30"/>
  <c r="M154" i="30"/>
  <c r="P153" i="30"/>
  <c r="O153" i="30"/>
  <c r="M153" i="30"/>
  <c r="P152" i="30"/>
  <c r="O152" i="30"/>
  <c r="M152" i="30"/>
  <c r="P151" i="30"/>
  <c r="O151" i="30"/>
  <c r="M151" i="30"/>
  <c r="P150" i="30"/>
  <c r="O150" i="30"/>
  <c r="M150" i="30"/>
  <c r="P149" i="30"/>
  <c r="O149" i="30"/>
  <c r="M149" i="30"/>
  <c r="P148" i="30"/>
  <c r="O148" i="30"/>
  <c r="M148" i="30"/>
  <c r="P147" i="30"/>
  <c r="O147" i="30"/>
  <c r="M147" i="30"/>
  <c r="P146" i="30"/>
  <c r="O146" i="30"/>
  <c r="M146" i="30"/>
  <c r="P145" i="30"/>
  <c r="O145" i="30"/>
  <c r="M145" i="30"/>
  <c r="P144" i="30"/>
  <c r="O144" i="30"/>
  <c r="M144" i="30"/>
  <c r="P143" i="30"/>
  <c r="O143" i="30"/>
  <c r="M143" i="30"/>
  <c r="P142" i="30"/>
  <c r="O142" i="30"/>
  <c r="M142" i="30"/>
  <c r="P141" i="30"/>
  <c r="O141" i="30"/>
  <c r="M141" i="30"/>
  <c r="P140" i="30"/>
  <c r="O140" i="30"/>
  <c r="M140" i="30"/>
  <c r="P139" i="30"/>
  <c r="O139" i="30"/>
  <c r="M139" i="30"/>
  <c r="P138" i="30"/>
  <c r="O138" i="30"/>
  <c r="M138" i="30"/>
  <c r="P137" i="30"/>
  <c r="O137" i="30"/>
  <c r="M137" i="30"/>
  <c r="P136" i="30"/>
  <c r="O136" i="30"/>
  <c r="M136" i="30"/>
  <c r="P135" i="30"/>
  <c r="O135" i="30"/>
  <c r="M135" i="30"/>
  <c r="P134" i="30"/>
  <c r="O134" i="30"/>
  <c r="M134" i="30"/>
  <c r="P133" i="30"/>
  <c r="O133" i="30"/>
  <c r="M133" i="30"/>
  <c r="P132" i="30"/>
  <c r="O132" i="30"/>
  <c r="M132" i="30"/>
  <c r="P131" i="30"/>
  <c r="O131" i="30"/>
  <c r="M131" i="30"/>
  <c r="O130" i="30"/>
  <c r="M130" i="30"/>
  <c r="O129" i="30"/>
  <c r="M129" i="30"/>
  <c r="P129" i="30" s="1"/>
  <c r="O128" i="30"/>
  <c r="M128" i="30"/>
  <c r="O127" i="30"/>
  <c r="M127" i="30"/>
  <c r="O126" i="30"/>
  <c r="M126" i="30"/>
  <c r="O125" i="30"/>
  <c r="M125" i="30"/>
  <c r="O124" i="30"/>
  <c r="M124" i="30"/>
  <c r="O123" i="30"/>
  <c r="M123" i="30"/>
  <c r="P123" i="30" s="1"/>
  <c r="O122" i="30"/>
  <c r="M122" i="30"/>
  <c r="O121" i="30"/>
  <c r="M121" i="30"/>
  <c r="P121" i="30" s="1"/>
  <c r="O120" i="30"/>
  <c r="M120" i="30"/>
  <c r="O119" i="30"/>
  <c r="M119" i="30"/>
  <c r="O118" i="30"/>
  <c r="M118" i="30"/>
  <c r="O117" i="30"/>
  <c r="M117" i="30"/>
  <c r="O116" i="30"/>
  <c r="M116" i="30"/>
  <c r="O115" i="30"/>
  <c r="M115" i="30"/>
  <c r="O114" i="30"/>
  <c r="M114" i="30"/>
  <c r="O113" i="30"/>
  <c r="M113" i="30"/>
  <c r="P113" i="30" s="1"/>
  <c r="O112" i="30"/>
  <c r="M112" i="30"/>
  <c r="O111" i="30"/>
  <c r="M111" i="30"/>
  <c r="O110" i="30"/>
  <c r="M110" i="30"/>
  <c r="O109" i="30"/>
  <c r="M109" i="30"/>
  <c r="O108" i="30"/>
  <c r="M108" i="30"/>
  <c r="O107" i="30"/>
  <c r="M107" i="30"/>
  <c r="P107" i="30" s="1"/>
  <c r="O106" i="30"/>
  <c r="M106" i="30"/>
  <c r="O105" i="30"/>
  <c r="M105" i="30"/>
  <c r="O104" i="30"/>
  <c r="M104" i="30"/>
  <c r="O103" i="30"/>
  <c r="M103" i="30"/>
  <c r="O102" i="30"/>
  <c r="M102" i="30"/>
  <c r="O99" i="30"/>
  <c r="M99" i="30"/>
  <c r="D96" i="30"/>
  <c r="L93" i="30"/>
  <c r="J93" i="30"/>
  <c r="E91" i="30"/>
  <c r="D91" i="30"/>
  <c r="D89" i="30"/>
  <c r="N72" i="30"/>
  <c r="L72" i="30"/>
  <c r="N71" i="30"/>
  <c r="L71" i="30"/>
  <c r="N70" i="30"/>
  <c r="L70" i="30"/>
  <c r="N69" i="30"/>
  <c r="L69" i="30"/>
  <c r="N68" i="30"/>
  <c r="L68" i="30"/>
  <c r="N67" i="30"/>
  <c r="L67" i="30"/>
  <c r="N66" i="30"/>
  <c r="L66" i="30"/>
  <c r="N65" i="30"/>
  <c r="L65" i="30"/>
  <c r="O65" i="30" s="1"/>
  <c r="N64" i="30"/>
  <c r="L64" i="30"/>
  <c r="N63" i="30"/>
  <c r="L63" i="30"/>
  <c r="N62" i="30"/>
  <c r="L62" i="30"/>
  <c r="N61" i="30"/>
  <c r="L61" i="30"/>
  <c r="N60" i="30"/>
  <c r="L60" i="30"/>
  <c r="N59" i="30"/>
  <c r="L59" i="30"/>
  <c r="N58" i="30"/>
  <c r="L58" i="30"/>
  <c r="N57" i="30"/>
  <c r="L57" i="30"/>
  <c r="N56" i="30"/>
  <c r="L56" i="30"/>
  <c r="N55" i="30"/>
  <c r="L55" i="30"/>
  <c r="N54" i="30"/>
  <c r="L54" i="30"/>
  <c r="N53" i="30"/>
  <c r="L53" i="30"/>
  <c r="N52" i="30"/>
  <c r="L52" i="30"/>
  <c r="N51" i="30"/>
  <c r="L51" i="30"/>
  <c r="N50" i="30"/>
  <c r="L50" i="30"/>
  <c r="N49" i="30"/>
  <c r="L49" i="30"/>
  <c r="N48" i="30"/>
  <c r="L48" i="30"/>
  <c r="N47" i="30"/>
  <c r="L47" i="30"/>
  <c r="N46" i="30"/>
  <c r="L46" i="30"/>
  <c r="N45" i="30"/>
  <c r="L45" i="30"/>
  <c r="N44" i="30"/>
  <c r="L44" i="30"/>
  <c r="N43" i="30"/>
  <c r="L43" i="30"/>
  <c r="N42" i="30"/>
  <c r="L42" i="30"/>
  <c r="N41" i="30"/>
  <c r="L41" i="30"/>
  <c r="N40" i="30"/>
  <c r="L40" i="30"/>
  <c r="N39" i="30"/>
  <c r="L39" i="30"/>
  <c r="N38" i="30"/>
  <c r="L38" i="30"/>
  <c r="N37" i="30"/>
  <c r="L37" i="30"/>
  <c r="N36" i="30"/>
  <c r="L36" i="30"/>
  <c r="N35" i="30"/>
  <c r="L35" i="30"/>
  <c r="N34" i="30"/>
  <c r="L34" i="30"/>
  <c r="N33" i="30"/>
  <c r="L33" i="30"/>
  <c r="N32" i="30"/>
  <c r="L32" i="30"/>
  <c r="N31" i="30"/>
  <c r="L31" i="30"/>
  <c r="N30" i="30"/>
  <c r="L30" i="30"/>
  <c r="N29" i="30"/>
  <c r="L29" i="30"/>
  <c r="N28" i="30"/>
  <c r="L28" i="30"/>
  <c r="N27" i="30"/>
  <c r="L27" i="30"/>
  <c r="N26" i="30"/>
  <c r="L26" i="30"/>
  <c r="N25" i="30"/>
  <c r="L25" i="30"/>
  <c r="N24" i="30"/>
  <c r="L24" i="30"/>
  <c r="N23" i="30"/>
  <c r="L23" i="30"/>
  <c r="N22" i="30"/>
  <c r="L22" i="30"/>
  <c r="C17" i="30"/>
  <c r="C18" i="30"/>
  <c r="C19" i="30" s="1"/>
  <c r="C20" i="30" s="1"/>
  <c r="C21" i="30" s="1"/>
  <c r="C22" i="30" s="1"/>
  <c r="C23" i="30" s="1"/>
  <c r="C24" i="30" s="1"/>
  <c r="C25" i="30" s="1"/>
  <c r="C26" i="30" s="1"/>
  <c r="C27" i="30" s="1"/>
  <c r="C28" i="30" s="1"/>
  <c r="C29" i="30" s="1"/>
  <c r="C30" i="30" s="1"/>
  <c r="C31" i="30" s="1"/>
  <c r="C32" i="30" s="1"/>
  <c r="C33" i="30" s="1"/>
  <c r="C34" i="30" s="1"/>
  <c r="C35" i="30" s="1"/>
  <c r="C36" i="30" s="1"/>
  <c r="C37" i="30" s="1"/>
  <c r="C38" i="30" s="1"/>
  <c r="C39" i="30" s="1"/>
  <c r="C40" i="30" s="1"/>
  <c r="C41" i="30" s="1"/>
  <c r="C42" i="30" s="1"/>
  <c r="C43" i="30" s="1"/>
  <c r="C44" i="30" s="1"/>
  <c r="C45" i="30" s="1"/>
  <c r="C46" i="30" s="1"/>
  <c r="C47" i="30" s="1"/>
  <c r="C48" i="30" s="1"/>
  <c r="C49" i="30" s="1"/>
  <c r="C50" i="30" s="1"/>
  <c r="C51" i="30" s="1"/>
  <c r="C52" i="30" s="1"/>
  <c r="C53" i="30" s="1"/>
  <c r="C54" i="30" s="1"/>
  <c r="C55" i="30" s="1"/>
  <c r="C56" i="30" s="1"/>
  <c r="C57" i="30" s="1"/>
  <c r="C58" i="30" s="1"/>
  <c r="C59" i="30" s="1"/>
  <c r="C60" i="30" s="1"/>
  <c r="C61" i="30" s="1"/>
  <c r="C62" i="30" s="1"/>
  <c r="C63" i="30" s="1"/>
  <c r="C64" i="30" s="1"/>
  <c r="C65" i="30" s="1"/>
  <c r="C66" i="30" s="1"/>
  <c r="C67" i="30" s="1"/>
  <c r="C68" i="30" s="1"/>
  <c r="C69" i="30" s="1"/>
  <c r="C70" i="30" s="1"/>
  <c r="C71" i="30" s="1"/>
  <c r="C72" i="30" s="1"/>
  <c r="K11" i="30"/>
  <c r="I11" i="30"/>
  <c r="D8" i="30"/>
  <c r="D90" i="30" s="1"/>
  <c r="P1" i="30"/>
  <c r="P83" i="30" s="1"/>
  <c r="M17" i="29"/>
  <c r="N17" i="29"/>
  <c r="K17" i="29"/>
  <c r="L17" i="29"/>
  <c r="M17" i="28"/>
  <c r="N17" i="28" s="1"/>
  <c r="K17" i="28"/>
  <c r="L17" i="28" s="1"/>
  <c r="N102" i="25"/>
  <c r="O102" i="25"/>
  <c r="L102" i="25"/>
  <c r="M102" i="25" s="1"/>
  <c r="M21" i="25"/>
  <c r="N21" i="25" s="1"/>
  <c r="K21" i="25"/>
  <c r="L21" i="25" s="1"/>
  <c r="N100" i="24"/>
  <c r="O100" i="24"/>
  <c r="P100" i="24" s="1"/>
  <c r="L100" i="24"/>
  <c r="M100" i="24"/>
  <c r="M19" i="24"/>
  <c r="N19" i="24" s="1"/>
  <c r="K19" i="24"/>
  <c r="L19" i="24" s="1"/>
  <c r="O19" i="24" s="1"/>
  <c r="N101" i="23"/>
  <c r="O101" i="23" s="1"/>
  <c r="P101" i="23" s="1"/>
  <c r="L101" i="23"/>
  <c r="M101" i="23" s="1"/>
  <c r="M20" i="23"/>
  <c r="N20" i="23" s="1"/>
  <c r="O20" i="23" s="1"/>
  <c r="K20" i="23"/>
  <c r="L20" i="23" s="1"/>
  <c r="N102" i="22"/>
  <c r="O102" i="22"/>
  <c r="P102" i="22" s="1"/>
  <c r="L102" i="22"/>
  <c r="M102" i="22" s="1"/>
  <c r="M21" i="22"/>
  <c r="N21" i="22"/>
  <c r="K21" i="22"/>
  <c r="L21" i="22" s="1"/>
  <c r="N105" i="11"/>
  <c r="O105" i="11" s="1"/>
  <c r="L105" i="11"/>
  <c r="M105" i="11" s="1"/>
  <c r="M24" i="11"/>
  <c r="K24" i="11"/>
  <c r="L24" i="11" s="1"/>
  <c r="N106" i="10"/>
  <c r="O106" i="10"/>
  <c r="L106" i="10"/>
  <c r="M106" i="10" s="1"/>
  <c r="M25" i="10"/>
  <c r="N25" i="10"/>
  <c r="K25" i="10"/>
  <c r="L25" i="10" s="1"/>
  <c r="N105" i="9"/>
  <c r="O105" i="9"/>
  <c r="P105" i="9" s="1"/>
  <c r="L105" i="9"/>
  <c r="M105" i="9" s="1"/>
  <c r="M24" i="9"/>
  <c r="N24" i="9"/>
  <c r="O24" i="9" s="1"/>
  <c r="K24" i="9"/>
  <c r="L24" i="9"/>
  <c r="N104" i="8"/>
  <c r="O104" i="8" s="1"/>
  <c r="L104" i="8"/>
  <c r="M104" i="8"/>
  <c r="M23" i="8"/>
  <c r="N23" i="8" s="1"/>
  <c r="K23" i="8"/>
  <c r="L23" i="8"/>
  <c r="N106" i="7"/>
  <c r="O106" i="7" s="1"/>
  <c r="L106" i="7"/>
  <c r="M106" i="7"/>
  <c r="M25" i="7"/>
  <c r="N25" i="7" s="1"/>
  <c r="K25" i="7"/>
  <c r="L25" i="7" s="1"/>
  <c r="N104" i="6"/>
  <c r="O104" i="6" s="1"/>
  <c r="L104" i="6"/>
  <c r="M104" i="6" s="1"/>
  <c r="M23" i="6"/>
  <c r="N23" i="6" s="1"/>
  <c r="K23" i="6"/>
  <c r="L23" i="6" s="1"/>
  <c r="N103" i="5"/>
  <c r="O103" i="5"/>
  <c r="L103" i="5"/>
  <c r="M103" i="5" s="1"/>
  <c r="M22" i="5"/>
  <c r="N22" i="5" s="1"/>
  <c r="K22" i="5"/>
  <c r="L22" i="5" s="1"/>
  <c r="N103" i="4"/>
  <c r="O103" i="4" s="1"/>
  <c r="L103" i="4"/>
  <c r="M103" i="4"/>
  <c r="M22" i="4"/>
  <c r="N22" i="4" s="1"/>
  <c r="O22" i="4" s="1"/>
  <c r="K22" i="4"/>
  <c r="L22" i="4"/>
  <c r="N103" i="3"/>
  <c r="O103" i="3" s="1"/>
  <c r="L103" i="3"/>
  <c r="M103" i="3"/>
  <c r="M22" i="3"/>
  <c r="K22" i="3"/>
  <c r="L22" i="3" s="1"/>
  <c r="D8" i="13"/>
  <c r="D10" i="23"/>
  <c r="D92" i="23" s="1"/>
  <c r="P1" i="29"/>
  <c r="P83" i="29" s="1"/>
  <c r="P1" i="28"/>
  <c r="P83" i="28" s="1"/>
  <c r="P1" i="27"/>
  <c r="P83" i="27" s="1"/>
  <c r="D8" i="29"/>
  <c r="D90" i="29" s="1"/>
  <c r="D8" i="28"/>
  <c r="D90" i="28"/>
  <c r="D8" i="27"/>
  <c r="D90" i="27"/>
  <c r="D8" i="25"/>
  <c r="D8" i="24"/>
  <c r="D8" i="22"/>
  <c r="D8" i="11"/>
  <c r="D8" i="10"/>
  <c r="E91" i="28"/>
  <c r="E91" i="29"/>
  <c r="W33" i="17"/>
  <c r="P33" i="17"/>
  <c r="W32" i="17"/>
  <c r="P32" i="17"/>
  <c r="N102" i="5"/>
  <c r="O102" i="5"/>
  <c r="L102" i="5"/>
  <c r="M102" i="5" s="1"/>
  <c r="P154" i="29"/>
  <c r="O154" i="29"/>
  <c r="M154" i="29"/>
  <c r="P153" i="29"/>
  <c r="O153" i="29"/>
  <c r="M153" i="29"/>
  <c r="P152" i="29"/>
  <c r="O152" i="29"/>
  <c r="M152" i="29"/>
  <c r="P151" i="29"/>
  <c r="O151" i="29"/>
  <c r="M151" i="29"/>
  <c r="P150" i="29"/>
  <c r="O150" i="29"/>
  <c r="M150" i="29"/>
  <c r="P149" i="29"/>
  <c r="O149" i="29"/>
  <c r="M149" i="29"/>
  <c r="P148" i="29"/>
  <c r="O148" i="29"/>
  <c r="M148" i="29"/>
  <c r="P147" i="29"/>
  <c r="O147" i="29"/>
  <c r="M147" i="29"/>
  <c r="P146" i="29"/>
  <c r="O146" i="29"/>
  <c r="M146" i="29"/>
  <c r="P145" i="29"/>
  <c r="O145" i="29"/>
  <c r="M145" i="29"/>
  <c r="P144" i="29"/>
  <c r="O144" i="29"/>
  <c r="M144" i="29"/>
  <c r="P143" i="29"/>
  <c r="O143" i="29"/>
  <c r="M143" i="29"/>
  <c r="P142" i="29"/>
  <c r="O142" i="29"/>
  <c r="M142" i="29"/>
  <c r="P141" i="29"/>
  <c r="O141" i="29"/>
  <c r="M141" i="29"/>
  <c r="P140" i="29"/>
  <c r="O140" i="29"/>
  <c r="M140" i="29"/>
  <c r="P139" i="29"/>
  <c r="O139" i="29"/>
  <c r="M139" i="29"/>
  <c r="P138" i="29"/>
  <c r="O138" i="29"/>
  <c r="M138" i="29"/>
  <c r="P137" i="29"/>
  <c r="O137" i="29"/>
  <c r="M137" i="29"/>
  <c r="P136" i="29"/>
  <c r="O136" i="29"/>
  <c r="M136" i="29"/>
  <c r="P135" i="29"/>
  <c r="O135" i="29"/>
  <c r="M135" i="29"/>
  <c r="P134" i="29"/>
  <c r="O134" i="29"/>
  <c r="M134" i="29"/>
  <c r="P133" i="29"/>
  <c r="O133" i="29"/>
  <c r="M133" i="29"/>
  <c r="P132" i="29"/>
  <c r="O132" i="29"/>
  <c r="M132" i="29"/>
  <c r="P131" i="29"/>
  <c r="O131" i="29"/>
  <c r="M131" i="29"/>
  <c r="O130" i="29"/>
  <c r="M130" i="29"/>
  <c r="O129" i="29"/>
  <c r="M129" i="29"/>
  <c r="O128" i="29"/>
  <c r="M128" i="29"/>
  <c r="O127" i="29"/>
  <c r="M127" i="29"/>
  <c r="O126" i="29"/>
  <c r="M126" i="29"/>
  <c r="O125" i="29"/>
  <c r="P125" i="29" s="1"/>
  <c r="M125" i="29"/>
  <c r="O124" i="29"/>
  <c r="M124" i="29"/>
  <c r="O123" i="29"/>
  <c r="M123" i="29"/>
  <c r="O122" i="29"/>
  <c r="M122" i="29"/>
  <c r="O121" i="29"/>
  <c r="M121" i="29"/>
  <c r="O120" i="29"/>
  <c r="M120" i="29"/>
  <c r="O119" i="29"/>
  <c r="M119" i="29"/>
  <c r="O118" i="29"/>
  <c r="M118" i="29"/>
  <c r="O117" i="29"/>
  <c r="M117" i="29"/>
  <c r="O116" i="29"/>
  <c r="M116" i="29"/>
  <c r="O115" i="29"/>
  <c r="M115" i="29"/>
  <c r="O114" i="29"/>
  <c r="M114" i="29"/>
  <c r="O113" i="29"/>
  <c r="P113" i="29" s="1"/>
  <c r="M113" i="29"/>
  <c r="O112" i="29"/>
  <c r="M112" i="29"/>
  <c r="O111" i="29"/>
  <c r="M111" i="29"/>
  <c r="O110" i="29"/>
  <c r="M110" i="29"/>
  <c r="O109" i="29"/>
  <c r="M109" i="29"/>
  <c r="O108" i="29"/>
  <c r="M108" i="29"/>
  <c r="O107" i="29"/>
  <c r="M107" i="29"/>
  <c r="O106" i="29"/>
  <c r="M106" i="29"/>
  <c r="O105" i="29"/>
  <c r="M105" i="29"/>
  <c r="O104" i="29"/>
  <c r="M104" i="29"/>
  <c r="O103" i="29"/>
  <c r="P103" i="29" s="1"/>
  <c r="M103" i="29"/>
  <c r="D96" i="29"/>
  <c r="L93" i="29"/>
  <c r="J93" i="29"/>
  <c r="D91" i="29"/>
  <c r="D89" i="29"/>
  <c r="N72" i="29"/>
  <c r="L72" i="29"/>
  <c r="N71" i="29"/>
  <c r="L71" i="29"/>
  <c r="N70" i="29"/>
  <c r="L70" i="29"/>
  <c r="N69" i="29"/>
  <c r="L69" i="29"/>
  <c r="N68" i="29"/>
  <c r="L68" i="29"/>
  <c r="N67" i="29"/>
  <c r="L67" i="29"/>
  <c r="N66" i="29"/>
  <c r="L66" i="29"/>
  <c r="N65" i="29"/>
  <c r="L65" i="29"/>
  <c r="N64" i="29"/>
  <c r="L64" i="29"/>
  <c r="N63" i="29"/>
  <c r="L63" i="29"/>
  <c r="N62" i="29"/>
  <c r="L62" i="29"/>
  <c r="N61" i="29"/>
  <c r="L61" i="29"/>
  <c r="N60" i="29"/>
  <c r="L60" i="29"/>
  <c r="N59" i="29"/>
  <c r="L59" i="29"/>
  <c r="N58" i="29"/>
  <c r="L58" i="29"/>
  <c r="N57" i="29"/>
  <c r="L57" i="29"/>
  <c r="N56" i="29"/>
  <c r="L56" i="29"/>
  <c r="N55" i="29"/>
  <c r="L55" i="29"/>
  <c r="N54" i="29"/>
  <c r="L54" i="29"/>
  <c r="N53" i="29"/>
  <c r="L53" i="29"/>
  <c r="N52" i="29"/>
  <c r="L52" i="29"/>
  <c r="N51" i="29"/>
  <c r="L51" i="29"/>
  <c r="N50" i="29"/>
  <c r="L50" i="29"/>
  <c r="N49" i="29"/>
  <c r="L49" i="29"/>
  <c r="N48" i="29"/>
  <c r="L48" i="29"/>
  <c r="N47" i="29"/>
  <c r="L47" i="29"/>
  <c r="N46" i="29"/>
  <c r="L46" i="29"/>
  <c r="N45" i="29"/>
  <c r="L45" i="29"/>
  <c r="N44" i="29"/>
  <c r="L44" i="29"/>
  <c r="N43" i="29"/>
  <c r="L43" i="29"/>
  <c r="N42" i="29"/>
  <c r="L42" i="29"/>
  <c r="N41" i="29"/>
  <c r="L41" i="29"/>
  <c r="N40" i="29"/>
  <c r="L40" i="29"/>
  <c r="N39" i="29"/>
  <c r="L39" i="29"/>
  <c r="N38" i="29"/>
  <c r="L38" i="29"/>
  <c r="N37" i="29"/>
  <c r="L37" i="29"/>
  <c r="N36" i="29"/>
  <c r="L36" i="29"/>
  <c r="N35" i="29"/>
  <c r="L35" i="29"/>
  <c r="N34" i="29"/>
  <c r="L34" i="29"/>
  <c r="N33" i="29"/>
  <c r="L33" i="29"/>
  <c r="N32" i="29"/>
  <c r="L32" i="29"/>
  <c r="N31" i="29"/>
  <c r="L31" i="29"/>
  <c r="N30" i="29"/>
  <c r="L30" i="29"/>
  <c r="N29" i="29"/>
  <c r="L29" i="29"/>
  <c r="N28" i="29"/>
  <c r="L28" i="29"/>
  <c r="N27" i="29"/>
  <c r="L27" i="29"/>
  <c r="N26" i="29"/>
  <c r="L26" i="29"/>
  <c r="N25" i="29"/>
  <c r="L25" i="29"/>
  <c r="N24" i="29"/>
  <c r="L24" i="29"/>
  <c r="N23" i="29"/>
  <c r="L23" i="29"/>
  <c r="C17" i="29"/>
  <c r="C18" i="29" s="1"/>
  <c r="C19" i="29" s="1"/>
  <c r="C20" i="29" s="1"/>
  <c r="C21" i="29" s="1"/>
  <c r="C22" i="29" s="1"/>
  <c r="C23" i="29" s="1"/>
  <c r="C24" i="29" s="1"/>
  <c r="C25" i="29" s="1"/>
  <c r="C26" i="29" s="1"/>
  <c r="C27" i="29" s="1"/>
  <c r="C28" i="29" s="1"/>
  <c r="C29" i="29" s="1"/>
  <c r="C30" i="29" s="1"/>
  <c r="C31" i="29" s="1"/>
  <c r="C32" i="29" s="1"/>
  <c r="C33" i="29" s="1"/>
  <c r="C34" i="29" s="1"/>
  <c r="C35" i="29" s="1"/>
  <c r="C36" i="29" s="1"/>
  <c r="C37" i="29" s="1"/>
  <c r="C38" i="29" s="1"/>
  <c r="C39" i="29" s="1"/>
  <c r="C40" i="29" s="1"/>
  <c r="C41" i="29" s="1"/>
  <c r="C42" i="29" s="1"/>
  <c r="C43" i="29" s="1"/>
  <c r="C44" i="29" s="1"/>
  <c r="K11" i="29"/>
  <c r="I11" i="29"/>
  <c r="P154" i="28"/>
  <c r="O154" i="28"/>
  <c r="M154" i="28"/>
  <c r="P153" i="28"/>
  <c r="O153" i="28"/>
  <c r="M153" i="28"/>
  <c r="P152" i="28"/>
  <c r="O152" i="28"/>
  <c r="M152" i="28"/>
  <c r="P151" i="28"/>
  <c r="O151" i="28"/>
  <c r="M151" i="28"/>
  <c r="P150" i="28"/>
  <c r="O150" i="28"/>
  <c r="M150" i="28"/>
  <c r="P149" i="28"/>
  <c r="O149" i="28"/>
  <c r="M149" i="28"/>
  <c r="P148" i="28"/>
  <c r="O148" i="28"/>
  <c r="M148" i="28"/>
  <c r="P147" i="28"/>
  <c r="O147" i="28"/>
  <c r="M147" i="28"/>
  <c r="P146" i="28"/>
  <c r="O146" i="28"/>
  <c r="M146" i="28"/>
  <c r="P145" i="28"/>
  <c r="O145" i="28"/>
  <c r="M145" i="28"/>
  <c r="P144" i="28"/>
  <c r="O144" i="28"/>
  <c r="M144" i="28"/>
  <c r="P143" i="28"/>
  <c r="O143" i="28"/>
  <c r="M143" i="28"/>
  <c r="P142" i="28"/>
  <c r="O142" i="28"/>
  <c r="M142" i="28"/>
  <c r="P141" i="28"/>
  <c r="O141" i="28"/>
  <c r="M141" i="28"/>
  <c r="P140" i="28"/>
  <c r="O140" i="28"/>
  <c r="M140" i="28"/>
  <c r="P139" i="28"/>
  <c r="O139" i="28"/>
  <c r="M139" i="28"/>
  <c r="P138" i="28"/>
  <c r="O138" i="28"/>
  <c r="M138" i="28"/>
  <c r="P137" i="28"/>
  <c r="O137" i="28"/>
  <c r="M137" i="28"/>
  <c r="P136" i="28"/>
  <c r="O136" i="28"/>
  <c r="M136" i="28"/>
  <c r="P135" i="28"/>
  <c r="O135" i="28"/>
  <c r="M135" i="28"/>
  <c r="P134" i="28"/>
  <c r="O134" i="28"/>
  <c r="M134" i="28"/>
  <c r="P133" i="28"/>
  <c r="O133" i="28"/>
  <c r="M133" i="28"/>
  <c r="P132" i="28"/>
  <c r="O132" i="28"/>
  <c r="M132" i="28"/>
  <c r="P131" i="28"/>
  <c r="O131" i="28"/>
  <c r="M131" i="28"/>
  <c r="O130" i="28"/>
  <c r="M130" i="28"/>
  <c r="O129" i="28"/>
  <c r="M129" i="28"/>
  <c r="P129" i="28" s="1"/>
  <c r="O128" i="28"/>
  <c r="M128" i="28"/>
  <c r="O127" i="28"/>
  <c r="M127" i="28"/>
  <c r="O126" i="28"/>
  <c r="M126" i="28"/>
  <c r="O125" i="28"/>
  <c r="M125" i="28"/>
  <c r="O124" i="28"/>
  <c r="M124" i="28"/>
  <c r="O123" i="28"/>
  <c r="M123" i="28"/>
  <c r="O122" i="28"/>
  <c r="M122" i="28"/>
  <c r="O121" i="28"/>
  <c r="M121" i="28"/>
  <c r="O120" i="28"/>
  <c r="M120" i="28"/>
  <c r="O119" i="28"/>
  <c r="M119" i="28"/>
  <c r="P119" i="28" s="1"/>
  <c r="O118" i="28"/>
  <c r="M118" i="28"/>
  <c r="O117" i="28"/>
  <c r="M117" i="28"/>
  <c r="P117" i="28" s="1"/>
  <c r="O116" i="28"/>
  <c r="M116" i="28"/>
  <c r="O115" i="28"/>
  <c r="M115" i="28"/>
  <c r="P115" i="28" s="1"/>
  <c r="O114" i="28"/>
  <c r="M114" i="28"/>
  <c r="O113" i="28"/>
  <c r="M113" i="28"/>
  <c r="O112" i="28"/>
  <c r="M112" i="28"/>
  <c r="O111" i="28"/>
  <c r="M111" i="28"/>
  <c r="O110" i="28"/>
  <c r="M110" i="28"/>
  <c r="O109" i="28"/>
  <c r="M109" i="28"/>
  <c r="P109" i="28" s="1"/>
  <c r="O108" i="28"/>
  <c r="P108" i="28" s="1"/>
  <c r="M108" i="28"/>
  <c r="O107" i="28"/>
  <c r="M107" i="28"/>
  <c r="P107" i="28" s="1"/>
  <c r="O106" i="28"/>
  <c r="M106" i="28"/>
  <c r="O105" i="28"/>
  <c r="M105" i="28"/>
  <c r="P105" i="28" s="1"/>
  <c r="O104" i="28"/>
  <c r="M104" i="28"/>
  <c r="O103" i="28"/>
  <c r="M103" i="28"/>
  <c r="P103" i="28" s="1"/>
  <c r="D96" i="28"/>
  <c r="D94" i="28"/>
  <c r="L93" i="28"/>
  <c r="J93" i="28"/>
  <c r="C99" i="28"/>
  <c r="D92" i="28"/>
  <c r="D91" i="28"/>
  <c r="D89" i="28"/>
  <c r="N72" i="28"/>
  <c r="L72" i="28"/>
  <c r="N71" i="28"/>
  <c r="L71" i="28"/>
  <c r="N70" i="28"/>
  <c r="L70" i="28"/>
  <c r="N69" i="28"/>
  <c r="L69" i="28"/>
  <c r="N68" i="28"/>
  <c r="L68" i="28"/>
  <c r="N67" i="28"/>
  <c r="L67" i="28"/>
  <c r="N66" i="28"/>
  <c r="L66" i="28"/>
  <c r="N65" i="28"/>
  <c r="L65" i="28"/>
  <c r="N64" i="28"/>
  <c r="L64" i="28"/>
  <c r="N63" i="28"/>
  <c r="L63" i="28"/>
  <c r="N62" i="28"/>
  <c r="L62" i="28"/>
  <c r="N61" i="28"/>
  <c r="L61" i="28"/>
  <c r="N60" i="28"/>
  <c r="L60" i="28"/>
  <c r="N59" i="28"/>
  <c r="L59" i="28"/>
  <c r="N58" i="28"/>
  <c r="L58" i="28"/>
  <c r="N57" i="28"/>
  <c r="L57" i="28"/>
  <c r="N56" i="28"/>
  <c r="L56" i="28"/>
  <c r="N55" i="28"/>
  <c r="L55" i="28"/>
  <c r="N54" i="28"/>
  <c r="L54" i="28"/>
  <c r="N53" i="28"/>
  <c r="L53" i="28"/>
  <c r="N52" i="28"/>
  <c r="L52" i="28"/>
  <c r="N51" i="28"/>
  <c r="L51" i="28"/>
  <c r="N50" i="28"/>
  <c r="L50" i="28"/>
  <c r="N49" i="28"/>
  <c r="L49" i="28"/>
  <c r="N48" i="28"/>
  <c r="L48" i="28"/>
  <c r="N47" i="28"/>
  <c r="L47" i="28"/>
  <c r="N46" i="28"/>
  <c r="L46" i="28"/>
  <c r="N45" i="28"/>
  <c r="L45" i="28"/>
  <c r="N44" i="28"/>
  <c r="L44" i="28"/>
  <c r="N43" i="28"/>
  <c r="L43" i="28"/>
  <c r="N42" i="28"/>
  <c r="L42" i="28"/>
  <c r="N41" i="28"/>
  <c r="L41" i="28"/>
  <c r="N40" i="28"/>
  <c r="L40" i="28"/>
  <c r="N39" i="28"/>
  <c r="L39" i="28"/>
  <c r="N38" i="28"/>
  <c r="L38" i="28"/>
  <c r="N37" i="28"/>
  <c r="L37" i="28"/>
  <c r="N36" i="28"/>
  <c r="L36" i="28"/>
  <c r="N35" i="28"/>
  <c r="L35" i="28"/>
  <c r="N34" i="28"/>
  <c r="L34" i="28"/>
  <c r="N33" i="28"/>
  <c r="L33" i="28"/>
  <c r="N32" i="28"/>
  <c r="L32" i="28"/>
  <c r="N31" i="28"/>
  <c r="L31" i="28"/>
  <c r="N30" i="28"/>
  <c r="L30" i="28"/>
  <c r="N29" i="28"/>
  <c r="L29" i="28"/>
  <c r="N28" i="28"/>
  <c r="L28" i="28"/>
  <c r="N27" i="28"/>
  <c r="L27" i="28"/>
  <c r="N26" i="28"/>
  <c r="L26" i="28"/>
  <c r="N25" i="28"/>
  <c r="L25" i="28"/>
  <c r="N24" i="28"/>
  <c r="L24" i="28"/>
  <c r="N23" i="28"/>
  <c r="L23" i="28"/>
  <c r="C17" i="28"/>
  <c r="C18" i="28"/>
  <c r="C19" i="28" s="1"/>
  <c r="C20" i="28" s="1"/>
  <c r="C21" i="28" s="1"/>
  <c r="C22" i="28" s="1"/>
  <c r="C23" i="28"/>
  <c r="C24" i="28" s="1"/>
  <c r="C25" i="28" s="1"/>
  <c r="C26" i="28" s="1"/>
  <c r="C27" i="28" s="1"/>
  <c r="C28" i="28" s="1"/>
  <c r="C29" i="28" s="1"/>
  <c r="C30" i="28" s="1"/>
  <c r="C31" i="28" s="1"/>
  <c r="C32" i="28" s="1"/>
  <c r="C33" i="28" s="1"/>
  <c r="C34" i="28" s="1"/>
  <c r="C35" i="28" s="1"/>
  <c r="C36" i="28" s="1"/>
  <c r="C37" i="28" s="1"/>
  <c r="C38" i="28" s="1"/>
  <c r="C39" i="28" s="1"/>
  <c r="C40" i="28" s="1"/>
  <c r="C41" i="28" s="1"/>
  <c r="C42" i="28" s="1"/>
  <c r="C43" i="28" s="1"/>
  <c r="C44" i="28" s="1"/>
  <c r="K11" i="28"/>
  <c r="I11" i="28"/>
  <c r="D94" i="27"/>
  <c r="D92" i="27"/>
  <c r="M17" i="27"/>
  <c r="N17" i="27" s="1"/>
  <c r="O17" i="27" s="1"/>
  <c r="K17" i="27"/>
  <c r="L17" i="27" s="1"/>
  <c r="N101" i="25"/>
  <c r="O101" i="25" s="1"/>
  <c r="L101" i="25"/>
  <c r="M101" i="25" s="1"/>
  <c r="N100" i="25"/>
  <c r="O100" i="25"/>
  <c r="P100" i="25" s="1"/>
  <c r="L100" i="25"/>
  <c r="M100" i="25" s="1"/>
  <c r="N99" i="25"/>
  <c r="O99" i="25"/>
  <c r="L99" i="25"/>
  <c r="M99" i="25"/>
  <c r="M20" i="25"/>
  <c r="N20" i="25" s="1"/>
  <c r="K20" i="25"/>
  <c r="L20" i="25" s="1"/>
  <c r="D92" i="24"/>
  <c r="N100" i="23"/>
  <c r="O100" i="23" s="1"/>
  <c r="L100" i="23"/>
  <c r="M100" i="23" s="1"/>
  <c r="M19" i="23"/>
  <c r="N19" i="23" s="1"/>
  <c r="O19" i="23" s="1"/>
  <c r="K19" i="23"/>
  <c r="L19" i="23" s="1"/>
  <c r="N101" i="22"/>
  <c r="O101" i="22"/>
  <c r="L101" i="22"/>
  <c r="M101" i="22" s="1"/>
  <c r="M20" i="22"/>
  <c r="N20" i="22" s="1"/>
  <c r="K20" i="22"/>
  <c r="L20" i="22" s="1"/>
  <c r="N104" i="11"/>
  <c r="O104" i="11"/>
  <c r="L104" i="11"/>
  <c r="M104" i="11" s="1"/>
  <c r="M23" i="11"/>
  <c r="N23" i="11" s="1"/>
  <c r="K23" i="11"/>
  <c r="L23" i="11" s="1"/>
  <c r="N105" i="10"/>
  <c r="O105" i="10" s="1"/>
  <c r="L105" i="10"/>
  <c r="M105" i="10" s="1"/>
  <c r="M24" i="10"/>
  <c r="N24" i="10" s="1"/>
  <c r="K24" i="10"/>
  <c r="L24" i="10" s="1"/>
  <c r="N104" i="9"/>
  <c r="O104" i="9" s="1"/>
  <c r="P104" i="9" s="1"/>
  <c r="L104" i="9"/>
  <c r="M104" i="9"/>
  <c r="M23" i="9"/>
  <c r="N23" i="9" s="1"/>
  <c r="K23" i="9"/>
  <c r="L23" i="9" s="1"/>
  <c r="O23" i="9" s="1"/>
  <c r="N103" i="8"/>
  <c r="O103" i="8" s="1"/>
  <c r="L103" i="8"/>
  <c r="M103" i="8"/>
  <c r="M22" i="8"/>
  <c r="N22" i="8" s="1"/>
  <c r="K22" i="8"/>
  <c r="L22" i="8" s="1"/>
  <c r="O22" i="8" s="1"/>
  <c r="N105" i="7"/>
  <c r="O105" i="7" s="1"/>
  <c r="L105" i="7"/>
  <c r="M105" i="7"/>
  <c r="M24" i="7"/>
  <c r="N24" i="7" s="1"/>
  <c r="K24" i="7"/>
  <c r="L24" i="7" s="1"/>
  <c r="N103" i="6"/>
  <c r="O103" i="6" s="1"/>
  <c r="L103" i="6"/>
  <c r="M103" i="6"/>
  <c r="M22" i="6"/>
  <c r="N22" i="6" s="1"/>
  <c r="O22" i="6" s="1"/>
  <c r="K22" i="6"/>
  <c r="L22" i="6" s="1"/>
  <c r="M21" i="5"/>
  <c r="N21" i="5" s="1"/>
  <c r="K21" i="5"/>
  <c r="L21" i="5" s="1"/>
  <c r="O21" i="5" s="1"/>
  <c r="N102" i="4"/>
  <c r="O102" i="4"/>
  <c r="L102" i="4"/>
  <c r="M102" i="4" s="1"/>
  <c r="M21" i="4"/>
  <c r="N21" i="4" s="1"/>
  <c r="K21" i="4"/>
  <c r="L21" i="4"/>
  <c r="N102" i="3"/>
  <c r="O102" i="3"/>
  <c r="L102" i="3"/>
  <c r="M102" i="3" s="1"/>
  <c r="M21" i="3"/>
  <c r="N21" i="3" s="1"/>
  <c r="O21" i="3" s="1"/>
  <c r="K21" i="3"/>
  <c r="L21" i="3" s="1"/>
  <c r="P86" i="6"/>
  <c r="O5" i="6"/>
  <c r="P87" i="6" s="1"/>
  <c r="J153" i="25"/>
  <c r="J154" i="25"/>
  <c r="J152" i="25"/>
  <c r="J151" i="25"/>
  <c r="J150" i="25"/>
  <c r="J149" i="25"/>
  <c r="J148" i="25"/>
  <c r="J147" i="25"/>
  <c r="J146" i="25"/>
  <c r="J145" i="25"/>
  <c r="J144" i="25"/>
  <c r="J143" i="25"/>
  <c r="J142" i="25"/>
  <c r="J141" i="25"/>
  <c r="J140" i="25"/>
  <c r="J139" i="25"/>
  <c r="J138" i="25"/>
  <c r="J137" i="25"/>
  <c r="J136" i="25"/>
  <c r="J135" i="25"/>
  <c r="J134" i="25"/>
  <c r="J133" i="25"/>
  <c r="M19" i="25"/>
  <c r="N19" i="25" s="1"/>
  <c r="M18" i="25"/>
  <c r="N18" i="25" s="1"/>
  <c r="O18" i="25" s="1"/>
  <c r="K19" i="25"/>
  <c r="L19" i="25" s="1"/>
  <c r="O19" i="25" s="1"/>
  <c r="K18" i="25"/>
  <c r="I19" i="25"/>
  <c r="C17" i="25"/>
  <c r="C18" i="25"/>
  <c r="C19" i="25" s="1"/>
  <c r="C20" i="25" s="1"/>
  <c r="C21" i="25" s="1"/>
  <c r="C22" i="25" s="1"/>
  <c r="C23" i="25" s="1"/>
  <c r="C24" i="25" s="1"/>
  <c r="C25" i="25" s="1"/>
  <c r="C26" i="25" s="1"/>
  <c r="C27" i="25" s="1"/>
  <c r="C28" i="25" s="1"/>
  <c r="C29" i="25" s="1"/>
  <c r="C30" i="25" s="1"/>
  <c r="C31" i="25" s="1"/>
  <c r="C32" i="25" s="1"/>
  <c r="C33" i="25" s="1"/>
  <c r="C34" i="25" s="1"/>
  <c r="C35" i="25" s="1"/>
  <c r="C36" i="25" s="1"/>
  <c r="C37" i="25" s="1"/>
  <c r="C38" i="25" s="1"/>
  <c r="C39" i="25" s="1"/>
  <c r="C40" i="25" s="1"/>
  <c r="C41" i="25" s="1"/>
  <c r="C42" i="25" s="1"/>
  <c r="C43" i="25" s="1"/>
  <c r="C44" i="25" s="1"/>
  <c r="J131" i="24"/>
  <c r="J132" i="24"/>
  <c r="J133" i="24"/>
  <c r="J134" i="24"/>
  <c r="J135" i="24"/>
  <c r="J136" i="24"/>
  <c r="J137" i="24"/>
  <c r="J138" i="24"/>
  <c r="J139" i="24"/>
  <c r="J140" i="24"/>
  <c r="J141" i="24"/>
  <c r="J142" i="24"/>
  <c r="J143" i="24"/>
  <c r="J144" i="24"/>
  <c r="J145" i="24"/>
  <c r="J146" i="24"/>
  <c r="C17" i="24"/>
  <c r="C18" i="24"/>
  <c r="C19" i="24" s="1"/>
  <c r="C20" i="24" s="1"/>
  <c r="C21" i="24" s="1"/>
  <c r="C22" i="24" s="1"/>
  <c r="C23" i="24" s="1"/>
  <c r="C24" i="24" s="1"/>
  <c r="C25" i="24" s="1"/>
  <c r="C26" i="24" s="1"/>
  <c r="C27" i="24" s="1"/>
  <c r="C28" i="24" s="1"/>
  <c r="C29" i="24" s="1"/>
  <c r="C30" i="24" s="1"/>
  <c r="C31" i="24" s="1"/>
  <c r="C32" i="24" s="1"/>
  <c r="C33" i="24" s="1"/>
  <c r="C34" i="24" s="1"/>
  <c r="C35" i="24" s="1"/>
  <c r="C36" i="24" s="1"/>
  <c r="C37" i="24" s="1"/>
  <c r="C38" i="24" s="1"/>
  <c r="C39" i="24" s="1"/>
  <c r="C40" i="24" s="1"/>
  <c r="C41" i="24" s="1"/>
  <c r="C42" i="24" s="1"/>
  <c r="C43" i="24" s="1"/>
  <c r="C44" i="24" s="1"/>
  <c r="W31" i="17"/>
  <c r="P31" i="17"/>
  <c r="P154" i="27"/>
  <c r="O154" i="27"/>
  <c r="M154" i="27"/>
  <c r="P153" i="27"/>
  <c r="O153" i="27"/>
  <c r="M153" i="27"/>
  <c r="P152" i="27"/>
  <c r="O152" i="27"/>
  <c r="M152" i="27"/>
  <c r="P151" i="27"/>
  <c r="O151" i="27"/>
  <c r="M151" i="27"/>
  <c r="P150" i="27"/>
  <c r="O150" i="27"/>
  <c r="M150" i="27"/>
  <c r="P149" i="27"/>
  <c r="O149" i="27"/>
  <c r="M149" i="27"/>
  <c r="P148" i="27"/>
  <c r="O148" i="27"/>
  <c r="M148" i="27"/>
  <c r="P147" i="27"/>
  <c r="O147" i="27"/>
  <c r="M147" i="27"/>
  <c r="P146" i="27"/>
  <c r="O146" i="27"/>
  <c r="M146" i="27"/>
  <c r="P145" i="27"/>
  <c r="O145" i="27"/>
  <c r="M145" i="27"/>
  <c r="P144" i="27"/>
  <c r="O144" i="27"/>
  <c r="M144" i="27"/>
  <c r="P143" i="27"/>
  <c r="O143" i="27"/>
  <c r="M143" i="27"/>
  <c r="P142" i="27"/>
  <c r="O142" i="27"/>
  <c r="M142" i="27"/>
  <c r="P141" i="27"/>
  <c r="O141" i="27"/>
  <c r="M141" i="27"/>
  <c r="P140" i="27"/>
  <c r="O140" i="27"/>
  <c r="M140" i="27"/>
  <c r="P139" i="27"/>
  <c r="O139" i="27"/>
  <c r="M139" i="27"/>
  <c r="P138" i="27"/>
  <c r="O138" i="27"/>
  <c r="M138" i="27"/>
  <c r="P137" i="27"/>
  <c r="O137" i="27"/>
  <c r="M137" i="27"/>
  <c r="P136" i="27"/>
  <c r="O136" i="27"/>
  <c r="M136" i="27"/>
  <c r="P135" i="27"/>
  <c r="O135" i="27"/>
  <c r="M135" i="27"/>
  <c r="P134" i="27"/>
  <c r="O134" i="27"/>
  <c r="M134" i="27"/>
  <c r="P133" i="27"/>
  <c r="O133" i="27"/>
  <c r="M133" i="27"/>
  <c r="P132" i="27"/>
  <c r="O132" i="27"/>
  <c r="M132" i="27"/>
  <c r="P131" i="27"/>
  <c r="O131" i="27"/>
  <c r="M131" i="27"/>
  <c r="O130" i="27"/>
  <c r="M130" i="27"/>
  <c r="O129" i="27"/>
  <c r="M129" i="27"/>
  <c r="O128" i="27"/>
  <c r="M128" i="27"/>
  <c r="O127" i="27"/>
  <c r="P127" i="27" s="1"/>
  <c r="M127" i="27"/>
  <c r="O126" i="27"/>
  <c r="M126" i="27"/>
  <c r="O125" i="27"/>
  <c r="M125" i="27"/>
  <c r="O124" i="27"/>
  <c r="M124" i="27"/>
  <c r="O123" i="27"/>
  <c r="M123" i="27"/>
  <c r="O122" i="27"/>
  <c r="M122" i="27"/>
  <c r="O121" i="27"/>
  <c r="M121" i="27"/>
  <c r="O120" i="27"/>
  <c r="M120" i="27"/>
  <c r="O119" i="27"/>
  <c r="M119" i="27"/>
  <c r="P119" i="27" s="1"/>
  <c r="O118" i="27"/>
  <c r="P118" i="27" s="1"/>
  <c r="M118" i="27"/>
  <c r="O117" i="27"/>
  <c r="M117" i="27"/>
  <c r="O116" i="27"/>
  <c r="P116" i="27" s="1"/>
  <c r="M116" i="27"/>
  <c r="O115" i="27"/>
  <c r="M115" i="27"/>
  <c r="O114" i="27"/>
  <c r="P114" i="27" s="1"/>
  <c r="M114" i="27"/>
  <c r="O113" i="27"/>
  <c r="M113" i="27"/>
  <c r="O112" i="27"/>
  <c r="P112" i="27" s="1"/>
  <c r="M112" i="27"/>
  <c r="O111" i="27"/>
  <c r="P111" i="27" s="1"/>
  <c r="M111" i="27"/>
  <c r="O110" i="27"/>
  <c r="P110" i="27" s="1"/>
  <c r="M110" i="27"/>
  <c r="O109" i="27"/>
  <c r="M109" i="27"/>
  <c r="P109" i="27"/>
  <c r="O108" i="27"/>
  <c r="M108" i="27"/>
  <c r="O107" i="27"/>
  <c r="M107" i="27"/>
  <c r="P107" i="27" s="1"/>
  <c r="O106" i="27"/>
  <c r="M106" i="27"/>
  <c r="O105" i="27"/>
  <c r="M105" i="27"/>
  <c r="O104" i="27"/>
  <c r="M104" i="27"/>
  <c r="D96" i="27"/>
  <c r="L93" i="27"/>
  <c r="J93" i="27"/>
  <c r="D91" i="27"/>
  <c r="D89" i="27"/>
  <c r="N72" i="27"/>
  <c r="L72" i="27"/>
  <c r="N71" i="27"/>
  <c r="L71" i="27"/>
  <c r="N70" i="27"/>
  <c r="L70" i="27"/>
  <c r="N69" i="27"/>
  <c r="L69" i="27"/>
  <c r="N68" i="27"/>
  <c r="L68" i="27"/>
  <c r="N67" i="27"/>
  <c r="L67" i="27"/>
  <c r="N66" i="27"/>
  <c r="L66" i="27"/>
  <c r="N65" i="27"/>
  <c r="L65" i="27"/>
  <c r="N64" i="27"/>
  <c r="L64" i="27"/>
  <c r="N63" i="27"/>
  <c r="L63" i="27"/>
  <c r="N62" i="27"/>
  <c r="L62" i="27"/>
  <c r="N61" i="27"/>
  <c r="L61" i="27"/>
  <c r="N60" i="27"/>
  <c r="L60" i="27"/>
  <c r="N59" i="27"/>
  <c r="L59" i="27"/>
  <c r="N58" i="27"/>
  <c r="L58" i="27"/>
  <c r="N57" i="27"/>
  <c r="L57" i="27"/>
  <c r="N56" i="27"/>
  <c r="L56" i="27"/>
  <c r="N55" i="27"/>
  <c r="L55" i="27"/>
  <c r="N54" i="27"/>
  <c r="L54" i="27"/>
  <c r="N53" i="27"/>
  <c r="L53" i="27"/>
  <c r="N52" i="27"/>
  <c r="L52" i="27"/>
  <c r="N51" i="27"/>
  <c r="L51" i="27"/>
  <c r="N50" i="27"/>
  <c r="L50" i="27"/>
  <c r="N49" i="27"/>
  <c r="L49" i="27"/>
  <c r="N48" i="27"/>
  <c r="L48" i="27"/>
  <c r="N47" i="27"/>
  <c r="L47" i="27"/>
  <c r="N46" i="27"/>
  <c r="L46" i="27"/>
  <c r="N45" i="27"/>
  <c r="L45" i="27"/>
  <c r="N44" i="27"/>
  <c r="L44" i="27"/>
  <c r="N43" i="27"/>
  <c r="L43" i="27"/>
  <c r="N42" i="27"/>
  <c r="L42" i="27"/>
  <c r="N41" i="27"/>
  <c r="L41" i="27"/>
  <c r="N40" i="27"/>
  <c r="L40" i="27"/>
  <c r="N39" i="27"/>
  <c r="L39" i="27"/>
  <c r="N38" i="27"/>
  <c r="L38" i="27"/>
  <c r="N37" i="27"/>
  <c r="L37" i="27"/>
  <c r="N36" i="27"/>
  <c r="L36" i="27"/>
  <c r="N35" i="27"/>
  <c r="L35" i="27"/>
  <c r="N34" i="27"/>
  <c r="L34" i="27"/>
  <c r="N33" i="27"/>
  <c r="L33" i="27"/>
  <c r="N32" i="27"/>
  <c r="L32" i="27"/>
  <c r="N31" i="27"/>
  <c r="L31" i="27"/>
  <c r="N30" i="27"/>
  <c r="L30" i="27"/>
  <c r="N29" i="27"/>
  <c r="L29" i="27"/>
  <c r="N28" i="27"/>
  <c r="L28" i="27"/>
  <c r="N27" i="27"/>
  <c r="L27" i="27"/>
  <c r="N26" i="27"/>
  <c r="L26" i="27"/>
  <c r="N25" i="27"/>
  <c r="L25" i="27"/>
  <c r="N24" i="27"/>
  <c r="L24" i="27"/>
  <c r="C17" i="27"/>
  <c r="C18" i="27"/>
  <c r="C19" i="27"/>
  <c r="C20" i="27" s="1"/>
  <c r="C21" i="27" s="1"/>
  <c r="C22" i="27" s="1"/>
  <c r="C23" i="27" s="1"/>
  <c r="C24" i="27" s="1"/>
  <c r="C25" i="27" s="1"/>
  <c r="C26" i="27" s="1"/>
  <c r="C27" i="27" s="1"/>
  <c r="C28" i="27" s="1"/>
  <c r="C29" i="27" s="1"/>
  <c r="C30" i="27" s="1"/>
  <c r="C31" i="27" s="1"/>
  <c r="C32" i="27" s="1"/>
  <c r="C33" i="27" s="1"/>
  <c r="C34" i="27" s="1"/>
  <c r="C35" i="27" s="1"/>
  <c r="C36" i="27" s="1"/>
  <c r="C37" i="27" s="1"/>
  <c r="C38" i="27" s="1"/>
  <c r="C39" i="27" s="1"/>
  <c r="C40" i="27" s="1"/>
  <c r="C41" i="27" s="1"/>
  <c r="C42" i="27" s="1"/>
  <c r="C43" i="27" s="1"/>
  <c r="C44" i="27" s="1"/>
  <c r="K11" i="27"/>
  <c r="I11" i="27"/>
  <c r="M17" i="25"/>
  <c r="N17" i="25" s="1"/>
  <c r="O17" i="25" s="1"/>
  <c r="K17" i="25"/>
  <c r="L17" i="25"/>
  <c r="M17" i="24"/>
  <c r="N17" i="24" s="1"/>
  <c r="K17" i="24"/>
  <c r="N99" i="23"/>
  <c r="O99" i="23" s="1"/>
  <c r="L99" i="23"/>
  <c r="M18" i="23"/>
  <c r="K18" i="23"/>
  <c r="N100" i="22"/>
  <c r="L100" i="22"/>
  <c r="M100" i="22" s="1"/>
  <c r="M19" i="22"/>
  <c r="K19" i="22"/>
  <c r="N103" i="11"/>
  <c r="L103" i="11"/>
  <c r="M22" i="11"/>
  <c r="K22" i="11"/>
  <c r="N104" i="10"/>
  <c r="L104" i="10"/>
  <c r="M23" i="10"/>
  <c r="K23" i="10"/>
  <c r="N103" i="9"/>
  <c r="L103" i="9"/>
  <c r="M22" i="9"/>
  <c r="K22" i="9"/>
  <c r="N102" i="8"/>
  <c r="L102" i="8"/>
  <c r="M102" i="8"/>
  <c r="M21" i="8"/>
  <c r="K21" i="8"/>
  <c r="N104" i="7"/>
  <c r="L104" i="7"/>
  <c r="M23" i="7"/>
  <c r="K23" i="7"/>
  <c r="N102" i="6"/>
  <c r="L102" i="6"/>
  <c r="M21" i="6"/>
  <c r="K21" i="6"/>
  <c r="N101" i="5"/>
  <c r="L101" i="5"/>
  <c r="M20" i="5"/>
  <c r="K20" i="5"/>
  <c r="N101" i="4"/>
  <c r="L101" i="4"/>
  <c r="M20" i="4"/>
  <c r="K20" i="4"/>
  <c r="N101" i="3"/>
  <c r="L101" i="3"/>
  <c r="M20" i="3"/>
  <c r="K20" i="3"/>
  <c r="F81" i="2"/>
  <c r="J94" i="46" s="1"/>
  <c r="F87" i="2"/>
  <c r="F86" i="2"/>
  <c r="F90" i="2"/>
  <c r="C17" i="3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K19" i="3"/>
  <c r="P18" i="17"/>
  <c r="P47" i="17" s="1"/>
  <c r="C17" i="4"/>
  <c r="C18" i="4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K19" i="4"/>
  <c r="L19" i="4" s="1"/>
  <c r="P19" i="17"/>
  <c r="C17" i="5"/>
  <c r="C18" i="5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K19" i="5"/>
  <c r="P20" i="17"/>
  <c r="C17" i="6"/>
  <c r="C18" i="6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K20" i="6"/>
  <c r="L20" i="6" s="1"/>
  <c r="P21" i="17"/>
  <c r="C17" i="7"/>
  <c r="C18" i="7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/>
  <c r="C37" i="7" s="1"/>
  <c r="C38" i="7" s="1"/>
  <c r="C39" i="7" s="1"/>
  <c r="C40" i="7" s="1"/>
  <c r="C41" i="7" s="1"/>
  <c r="C42" i="7" s="1"/>
  <c r="C43" i="7" s="1"/>
  <c r="C44" i="7"/>
  <c r="C45" i="7" s="1"/>
  <c r="C46" i="7" s="1"/>
  <c r="C47" i="7" s="1"/>
  <c r="C48" i="7" s="1"/>
  <c r="C49" i="7" s="1"/>
  <c r="C50" i="7" s="1"/>
  <c r="C51" i="7" s="1"/>
  <c r="C52" i="7" s="1"/>
  <c r="C53" i="7" s="1"/>
  <c r="C54" i="7" s="1"/>
  <c r="C55" i="7" s="1"/>
  <c r="C56" i="7" s="1"/>
  <c r="C57" i="7" s="1"/>
  <c r="C58" i="7" s="1"/>
  <c r="C59" i="7" s="1"/>
  <c r="C60" i="7" s="1"/>
  <c r="C61" i="7" s="1"/>
  <c r="C62" i="7" s="1"/>
  <c r="C63" i="7" s="1"/>
  <c r="C64" i="7" s="1"/>
  <c r="C65" i="7" s="1"/>
  <c r="C66" i="7" s="1"/>
  <c r="C67" i="7" s="1"/>
  <c r="C68" i="7" s="1"/>
  <c r="C69" i="7" s="1"/>
  <c r="C70" i="7" s="1"/>
  <c r="C71" i="7" s="1"/>
  <c r="C72" i="7" s="1"/>
  <c r="K22" i="7"/>
  <c r="P22" i="17"/>
  <c r="C17" i="8"/>
  <c r="C18" i="8"/>
  <c r="C19" i="8" s="1"/>
  <c r="C20" i="8" s="1"/>
  <c r="C21" i="8" s="1"/>
  <c r="C22" i="8" s="1"/>
  <c r="C23" i="8" s="1"/>
  <c r="C24" i="8" s="1"/>
  <c r="C25" i="8" s="1"/>
  <c r="C26" i="8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38" i="8" s="1"/>
  <c r="C39" i="8" s="1"/>
  <c r="C40" i="8" s="1"/>
  <c r="C41" i="8" s="1"/>
  <c r="C42" i="8" s="1"/>
  <c r="C43" i="8" s="1"/>
  <c r="C44" i="8" s="1"/>
  <c r="C45" i="8" s="1"/>
  <c r="C46" i="8" s="1"/>
  <c r="C47" i="8" s="1"/>
  <c r="C48" i="8" s="1"/>
  <c r="C49" i="8" s="1"/>
  <c r="C50" i="8" s="1"/>
  <c r="C51" i="8" s="1"/>
  <c r="C52" i="8" s="1"/>
  <c r="C53" i="8" s="1"/>
  <c r="C54" i="8" s="1"/>
  <c r="C55" i="8" s="1"/>
  <c r="C56" i="8" s="1"/>
  <c r="C57" i="8" s="1"/>
  <c r="C58" i="8" s="1"/>
  <c r="C59" i="8" s="1"/>
  <c r="C60" i="8" s="1"/>
  <c r="C61" i="8" s="1"/>
  <c r="C62" i="8" s="1"/>
  <c r="C63" i="8" s="1"/>
  <c r="C64" i="8" s="1"/>
  <c r="C65" i="8" s="1"/>
  <c r="C66" i="8" s="1"/>
  <c r="C67" i="8" s="1"/>
  <c r="C68" i="8" s="1"/>
  <c r="C69" i="8" s="1"/>
  <c r="C70" i="8" s="1"/>
  <c r="C71" i="8" s="1"/>
  <c r="C72" i="8" s="1"/>
  <c r="K20" i="8"/>
  <c r="P23" i="17"/>
  <c r="C17" i="9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38" i="9" s="1"/>
  <c r="C39" i="9" s="1"/>
  <c r="C40" i="9" s="1"/>
  <c r="C41" i="9" s="1"/>
  <c r="C42" i="9" s="1"/>
  <c r="C43" i="9" s="1"/>
  <c r="C44" i="9" s="1"/>
  <c r="K21" i="9"/>
  <c r="P24" i="17"/>
  <c r="C17" i="10"/>
  <c r="C18" i="10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37" i="10" s="1"/>
  <c r="C38" i="10" s="1"/>
  <c r="C39" i="10" s="1"/>
  <c r="C40" i="10" s="1"/>
  <c r="C41" i="10" s="1"/>
  <c r="C42" i="10" s="1"/>
  <c r="C43" i="10" s="1"/>
  <c r="C44" i="10" s="1"/>
  <c r="K22" i="10"/>
  <c r="P25" i="17"/>
  <c r="C17" i="11"/>
  <c r="C18" i="11"/>
  <c r="C19" i="11" s="1"/>
  <c r="C20" i="1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37" i="11" s="1"/>
  <c r="C38" i="11" s="1"/>
  <c r="C39" i="11" s="1"/>
  <c r="C40" i="11" s="1"/>
  <c r="C41" i="11" s="1"/>
  <c r="C42" i="11" s="1"/>
  <c r="C43" i="11" s="1"/>
  <c r="C44" i="11" s="1"/>
  <c r="K21" i="11"/>
  <c r="P26" i="17"/>
  <c r="C17" i="22"/>
  <c r="C18" i="22"/>
  <c r="C19" i="22" s="1"/>
  <c r="C20" i="22"/>
  <c r="C21" i="22" s="1"/>
  <c r="C22" i="22"/>
  <c r="C23" i="22" s="1"/>
  <c r="C24" i="22" s="1"/>
  <c r="C25" i="22" s="1"/>
  <c r="C26" i="22" s="1"/>
  <c r="C27" i="22" s="1"/>
  <c r="C28" i="22"/>
  <c r="C29" i="22" s="1"/>
  <c r="C30" i="22" s="1"/>
  <c r="C31" i="22" s="1"/>
  <c r="C32" i="22" s="1"/>
  <c r="C33" i="22" s="1"/>
  <c r="C34" i="22" s="1"/>
  <c r="C35" i="22" s="1"/>
  <c r="C36" i="22" s="1"/>
  <c r="C37" i="22" s="1"/>
  <c r="C38" i="22" s="1"/>
  <c r="C39" i="22" s="1"/>
  <c r="C40" i="22" s="1"/>
  <c r="C41" i="22" s="1"/>
  <c r="C42" i="22" s="1"/>
  <c r="C43" i="22" s="1"/>
  <c r="C44" i="22" s="1"/>
  <c r="C45" i="22" s="1"/>
  <c r="C46" i="22" s="1"/>
  <c r="C47" i="22" s="1"/>
  <c r="C48" i="22" s="1"/>
  <c r="C49" i="22" s="1"/>
  <c r="C50" i="22" s="1"/>
  <c r="C51" i="22" s="1"/>
  <c r="C52" i="22" s="1"/>
  <c r="C53" i="22" s="1"/>
  <c r="C54" i="22" s="1"/>
  <c r="C55" i="22" s="1"/>
  <c r="C56" i="22" s="1"/>
  <c r="C57" i="22" s="1"/>
  <c r="C58" i="22" s="1"/>
  <c r="C59" i="22" s="1"/>
  <c r="C60" i="22" s="1"/>
  <c r="C61" i="22" s="1"/>
  <c r="C62" i="22" s="1"/>
  <c r="C63" i="22" s="1"/>
  <c r="C64" i="22" s="1"/>
  <c r="C65" i="22" s="1"/>
  <c r="C66" i="22" s="1"/>
  <c r="C67" i="22" s="1"/>
  <c r="C68" i="22" s="1"/>
  <c r="C69" i="22" s="1"/>
  <c r="C70" i="22" s="1"/>
  <c r="C71" i="22" s="1"/>
  <c r="C72" i="22" s="1"/>
  <c r="K18" i="22"/>
  <c r="P27" i="17"/>
  <c r="C17" i="23"/>
  <c r="C18" i="23"/>
  <c r="C19" i="23" s="1"/>
  <c r="C20" i="23"/>
  <c r="C21" i="23" s="1"/>
  <c r="C22" i="23" s="1"/>
  <c r="C23" i="23" s="1"/>
  <c r="C24" i="23" s="1"/>
  <c r="C25" i="23" s="1"/>
  <c r="C26" i="23" s="1"/>
  <c r="C27" i="23" s="1"/>
  <c r="C28" i="23" s="1"/>
  <c r="C29" i="23" s="1"/>
  <c r="C30" i="23" s="1"/>
  <c r="C31" i="23" s="1"/>
  <c r="C32" i="23" s="1"/>
  <c r="C33" i="23" s="1"/>
  <c r="C34" i="23" s="1"/>
  <c r="C35" i="23" s="1"/>
  <c r="C36" i="23" s="1"/>
  <c r="C37" i="23" s="1"/>
  <c r="C38" i="23" s="1"/>
  <c r="C39" i="23" s="1"/>
  <c r="C40" i="23" s="1"/>
  <c r="C41" i="23" s="1"/>
  <c r="C42" i="23" s="1"/>
  <c r="C43" i="23" s="1"/>
  <c r="C44" i="23" s="1"/>
  <c r="C45" i="23" s="1"/>
  <c r="C46" i="23" s="1"/>
  <c r="C47" i="23" s="1"/>
  <c r="C48" i="23" s="1"/>
  <c r="C49" i="23" s="1"/>
  <c r="C50" i="23" s="1"/>
  <c r="C51" i="23" s="1"/>
  <c r="C52" i="23" s="1"/>
  <c r="C53" i="23" s="1"/>
  <c r="C54" i="23" s="1"/>
  <c r="C55" i="23" s="1"/>
  <c r="C56" i="23" s="1"/>
  <c r="C57" i="23" s="1"/>
  <c r="C58" i="23" s="1"/>
  <c r="C59" i="23" s="1"/>
  <c r="C60" i="23" s="1"/>
  <c r="C61" i="23" s="1"/>
  <c r="C62" i="23" s="1"/>
  <c r="C63" i="23" s="1"/>
  <c r="C64" i="23" s="1"/>
  <c r="C65" i="23" s="1"/>
  <c r="C66" i="23" s="1"/>
  <c r="C67" i="23" s="1"/>
  <c r="C68" i="23" s="1"/>
  <c r="C69" i="23" s="1"/>
  <c r="C70" i="23" s="1"/>
  <c r="C71" i="23" s="1"/>
  <c r="C72" i="23" s="1"/>
  <c r="K17" i="23"/>
  <c r="P28" i="17"/>
  <c r="P29" i="17"/>
  <c r="P30" i="17"/>
  <c r="W29" i="17"/>
  <c r="W30" i="17"/>
  <c r="C17" i="13"/>
  <c r="M19" i="3"/>
  <c r="M19" i="4"/>
  <c r="M19" i="5"/>
  <c r="M20" i="6"/>
  <c r="M22" i="7"/>
  <c r="M20" i="8"/>
  <c r="M21" i="9"/>
  <c r="M22" i="10"/>
  <c r="M21" i="11"/>
  <c r="M18" i="22"/>
  <c r="M17" i="23"/>
  <c r="N17" i="23" s="1"/>
  <c r="O17" i="23" s="1"/>
  <c r="F81" i="1"/>
  <c r="I12" i="46" s="1"/>
  <c r="F87" i="1"/>
  <c r="F88" i="1" s="1"/>
  <c r="F89" i="1" s="1"/>
  <c r="F91" i="1" s="1"/>
  <c r="F92" i="1" s="1"/>
  <c r="F93" i="1" s="1"/>
  <c r="D13" i="46" s="1"/>
  <c r="I14" i="46" s="1"/>
  <c r="F90" i="1"/>
  <c r="P1" i="25"/>
  <c r="P83" i="25" s="1"/>
  <c r="I11" i="25"/>
  <c r="K11" i="25"/>
  <c r="L18" i="25"/>
  <c r="L27" i="25"/>
  <c r="N27" i="25"/>
  <c r="L28" i="25"/>
  <c r="N28" i="25"/>
  <c r="L29" i="25"/>
  <c r="N29" i="25"/>
  <c r="L30" i="25"/>
  <c r="N30" i="25"/>
  <c r="L31" i="25"/>
  <c r="N31" i="25"/>
  <c r="L32" i="25"/>
  <c r="N32" i="25"/>
  <c r="L33" i="25"/>
  <c r="N33" i="25"/>
  <c r="L34" i="25"/>
  <c r="N34" i="25"/>
  <c r="L35" i="25"/>
  <c r="N35" i="25"/>
  <c r="L36" i="25"/>
  <c r="N36" i="25"/>
  <c r="L37" i="25"/>
  <c r="N37" i="25"/>
  <c r="L38" i="25"/>
  <c r="N38" i="25"/>
  <c r="L39" i="25"/>
  <c r="N39" i="25"/>
  <c r="L40" i="25"/>
  <c r="N40" i="25"/>
  <c r="L41" i="25"/>
  <c r="N41" i="25"/>
  <c r="L42" i="25"/>
  <c r="N42" i="25"/>
  <c r="L43" i="25"/>
  <c r="N43" i="25"/>
  <c r="L44" i="25"/>
  <c r="N44" i="25"/>
  <c r="L45" i="25"/>
  <c r="N45" i="25"/>
  <c r="L46" i="25"/>
  <c r="N46" i="25"/>
  <c r="L47" i="25"/>
  <c r="N47" i="25"/>
  <c r="L48" i="25"/>
  <c r="N48" i="25"/>
  <c r="L49" i="25"/>
  <c r="N49" i="25"/>
  <c r="L50" i="25"/>
  <c r="N50" i="25"/>
  <c r="L51" i="25"/>
  <c r="N51" i="25"/>
  <c r="L52" i="25"/>
  <c r="N52" i="25"/>
  <c r="L53" i="25"/>
  <c r="N53" i="25"/>
  <c r="L54" i="25"/>
  <c r="N54" i="25"/>
  <c r="O54" i="25" s="1"/>
  <c r="L55" i="25"/>
  <c r="N55" i="25"/>
  <c r="L56" i="25"/>
  <c r="N56" i="25"/>
  <c r="L57" i="25"/>
  <c r="N57" i="25"/>
  <c r="L58" i="25"/>
  <c r="N58" i="25"/>
  <c r="L59" i="25"/>
  <c r="N59" i="25"/>
  <c r="L60" i="25"/>
  <c r="N60" i="25"/>
  <c r="L61" i="25"/>
  <c r="N61" i="25"/>
  <c r="L62" i="25"/>
  <c r="N62" i="25"/>
  <c r="L63" i="25"/>
  <c r="N63" i="25"/>
  <c r="L64" i="25"/>
  <c r="N64" i="25"/>
  <c r="L65" i="25"/>
  <c r="N65" i="25"/>
  <c r="L66" i="25"/>
  <c r="N66" i="25"/>
  <c r="L67" i="25"/>
  <c r="N67" i="25"/>
  <c r="L68" i="25"/>
  <c r="N68" i="25"/>
  <c r="L69" i="25"/>
  <c r="N69" i="25"/>
  <c r="L70" i="25"/>
  <c r="N70" i="25"/>
  <c r="L71" i="25"/>
  <c r="N71" i="25"/>
  <c r="L72" i="25"/>
  <c r="N72" i="25"/>
  <c r="D89" i="25"/>
  <c r="D90" i="25"/>
  <c r="D91" i="25"/>
  <c r="J93" i="25"/>
  <c r="L93" i="25"/>
  <c r="D96" i="25"/>
  <c r="M107" i="25"/>
  <c r="O107" i="25"/>
  <c r="M108" i="25"/>
  <c r="O108" i="25"/>
  <c r="M109" i="25"/>
  <c r="O109" i="25"/>
  <c r="M110" i="25"/>
  <c r="O110" i="25"/>
  <c r="M111" i="25"/>
  <c r="O111" i="25"/>
  <c r="M112" i="25"/>
  <c r="O112" i="25"/>
  <c r="M113" i="25"/>
  <c r="O113" i="25"/>
  <c r="M114" i="25"/>
  <c r="O114" i="25"/>
  <c r="M115" i="25"/>
  <c r="O115" i="25"/>
  <c r="M116" i="25"/>
  <c r="O116" i="25"/>
  <c r="M117" i="25"/>
  <c r="O117" i="25"/>
  <c r="M118" i="25"/>
  <c r="O118" i="25"/>
  <c r="M119" i="25"/>
  <c r="O119" i="25"/>
  <c r="P119" i="25" s="1"/>
  <c r="M120" i="25"/>
  <c r="O120" i="25"/>
  <c r="M121" i="25"/>
  <c r="O121" i="25"/>
  <c r="M122" i="25"/>
  <c r="O122" i="25"/>
  <c r="M123" i="25"/>
  <c r="O123" i="25"/>
  <c r="M124" i="25"/>
  <c r="O124" i="25"/>
  <c r="M125" i="25"/>
  <c r="O125" i="25"/>
  <c r="M126" i="25"/>
  <c r="O126" i="25"/>
  <c r="M127" i="25"/>
  <c r="O127" i="25"/>
  <c r="M128" i="25"/>
  <c r="O128" i="25"/>
  <c r="M129" i="25"/>
  <c r="O129" i="25"/>
  <c r="M130" i="25"/>
  <c r="O130" i="25"/>
  <c r="M131" i="25"/>
  <c r="O131" i="25"/>
  <c r="P131" i="25"/>
  <c r="M132" i="25"/>
  <c r="O132" i="25"/>
  <c r="P132" i="25"/>
  <c r="M133" i="25"/>
  <c r="O133" i="25"/>
  <c r="P133" i="25"/>
  <c r="M134" i="25"/>
  <c r="O134" i="25"/>
  <c r="P134" i="25"/>
  <c r="M135" i="25"/>
  <c r="O135" i="25"/>
  <c r="P135" i="25"/>
  <c r="M136" i="25"/>
  <c r="O136" i="25"/>
  <c r="P136" i="25"/>
  <c r="M137" i="25"/>
  <c r="O137" i="25"/>
  <c r="P137" i="25"/>
  <c r="M138" i="25"/>
  <c r="O138" i="25"/>
  <c r="P138" i="25"/>
  <c r="M139" i="25"/>
  <c r="O139" i="25"/>
  <c r="P139" i="25"/>
  <c r="M140" i="25"/>
  <c r="O140" i="25"/>
  <c r="P140" i="25"/>
  <c r="M141" i="25"/>
  <c r="O141" i="25"/>
  <c r="P141" i="25"/>
  <c r="M142" i="25"/>
  <c r="O142" i="25"/>
  <c r="P142" i="25"/>
  <c r="M143" i="25"/>
  <c r="O143" i="25"/>
  <c r="P143" i="25"/>
  <c r="M144" i="25"/>
  <c r="O144" i="25"/>
  <c r="P144" i="25"/>
  <c r="M145" i="25"/>
  <c r="O145" i="25"/>
  <c r="P145" i="25"/>
  <c r="M146" i="25"/>
  <c r="O146" i="25"/>
  <c r="P146" i="25"/>
  <c r="M147" i="25"/>
  <c r="O147" i="25"/>
  <c r="P147" i="25"/>
  <c r="M148" i="25"/>
  <c r="O148" i="25"/>
  <c r="P148" i="25"/>
  <c r="M149" i="25"/>
  <c r="O149" i="25"/>
  <c r="P149" i="25"/>
  <c r="M150" i="25"/>
  <c r="O150" i="25"/>
  <c r="P150" i="25"/>
  <c r="M151" i="25"/>
  <c r="O151" i="25"/>
  <c r="P151" i="25"/>
  <c r="M152" i="25"/>
  <c r="O152" i="25"/>
  <c r="P152" i="25"/>
  <c r="M153" i="25"/>
  <c r="O153" i="25"/>
  <c r="P153" i="25"/>
  <c r="M154" i="25"/>
  <c r="O154" i="25"/>
  <c r="P154" i="25"/>
  <c r="N99" i="22"/>
  <c r="L99" i="22"/>
  <c r="N102" i="11"/>
  <c r="L102" i="11"/>
  <c r="N103" i="10"/>
  <c r="L103" i="10"/>
  <c r="N102" i="9"/>
  <c r="L102" i="9"/>
  <c r="M102" i="9" s="1"/>
  <c r="N101" i="8"/>
  <c r="L101" i="8"/>
  <c r="N103" i="7"/>
  <c r="L103" i="7"/>
  <c r="N101" i="6"/>
  <c r="L101" i="6"/>
  <c r="N100" i="5"/>
  <c r="L100" i="5"/>
  <c r="M100" i="5"/>
  <c r="N100" i="4"/>
  <c r="L100" i="4"/>
  <c r="P1" i="24"/>
  <c r="P83" i="24" s="1"/>
  <c r="I11" i="24"/>
  <c r="K11" i="24"/>
  <c r="L17" i="24"/>
  <c r="L25" i="24"/>
  <c r="N25" i="24"/>
  <c r="L26" i="24"/>
  <c r="N26" i="24"/>
  <c r="L27" i="24"/>
  <c r="N27" i="24"/>
  <c r="L28" i="24"/>
  <c r="N28" i="24"/>
  <c r="L29" i="24"/>
  <c r="N29" i="24"/>
  <c r="L30" i="24"/>
  <c r="N30" i="24"/>
  <c r="L31" i="24"/>
  <c r="N31" i="24"/>
  <c r="L32" i="24"/>
  <c r="N32" i="24"/>
  <c r="L33" i="24"/>
  <c r="N33" i="24"/>
  <c r="L34" i="24"/>
  <c r="N34" i="24"/>
  <c r="L35" i="24"/>
  <c r="N35" i="24"/>
  <c r="L36" i="24"/>
  <c r="O36" i="24" s="1"/>
  <c r="N36" i="24"/>
  <c r="L37" i="24"/>
  <c r="N37" i="24"/>
  <c r="L38" i="24"/>
  <c r="N38" i="24"/>
  <c r="L39" i="24"/>
  <c r="N39" i="24"/>
  <c r="L40" i="24"/>
  <c r="N40" i="24"/>
  <c r="L41" i="24"/>
  <c r="N41" i="24"/>
  <c r="L42" i="24"/>
  <c r="N42" i="24"/>
  <c r="L43" i="24"/>
  <c r="N43" i="24"/>
  <c r="L44" i="24"/>
  <c r="N44" i="24"/>
  <c r="L45" i="24"/>
  <c r="N45" i="24"/>
  <c r="L46" i="24"/>
  <c r="N46" i="24"/>
  <c r="L47" i="24"/>
  <c r="N47" i="24"/>
  <c r="L48" i="24"/>
  <c r="N48" i="24"/>
  <c r="L49" i="24"/>
  <c r="N49" i="24"/>
  <c r="L50" i="24"/>
  <c r="N50" i="24"/>
  <c r="L51" i="24"/>
  <c r="N51" i="24"/>
  <c r="L52" i="24"/>
  <c r="O52" i="24" s="1"/>
  <c r="N52" i="24"/>
  <c r="L53" i="24"/>
  <c r="N53" i="24"/>
  <c r="L54" i="24"/>
  <c r="N54" i="24"/>
  <c r="L55" i="24"/>
  <c r="N55" i="24"/>
  <c r="L56" i="24"/>
  <c r="N56" i="24"/>
  <c r="L57" i="24"/>
  <c r="N57" i="24"/>
  <c r="L58" i="24"/>
  <c r="N58" i="24"/>
  <c r="L59" i="24"/>
  <c r="N59" i="24"/>
  <c r="L60" i="24"/>
  <c r="N60" i="24"/>
  <c r="L61" i="24"/>
  <c r="N61" i="24"/>
  <c r="L62" i="24"/>
  <c r="N62" i="24"/>
  <c r="L63" i="24"/>
  <c r="N63" i="24"/>
  <c r="L64" i="24"/>
  <c r="N64" i="24"/>
  <c r="L65" i="24"/>
  <c r="N65" i="24"/>
  <c r="L66" i="24"/>
  <c r="N66" i="24"/>
  <c r="L67" i="24"/>
  <c r="N67" i="24"/>
  <c r="L68" i="24"/>
  <c r="N68" i="24"/>
  <c r="L69" i="24"/>
  <c r="N69" i="24"/>
  <c r="L70" i="24"/>
  <c r="N70" i="24"/>
  <c r="L71" i="24"/>
  <c r="N71" i="24"/>
  <c r="L72" i="24"/>
  <c r="N72" i="24"/>
  <c r="D89" i="24"/>
  <c r="D90" i="24"/>
  <c r="D91" i="24"/>
  <c r="J93" i="24"/>
  <c r="L93" i="24"/>
  <c r="D96" i="24"/>
  <c r="M105" i="24"/>
  <c r="O105" i="24"/>
  <c r="M106" i="24"/>
  <c r="O106" i="24"/>
  <c r="M107" i="24"/>
  <c r="O107" i="24"/>
  <c r="M108" i="24"/>
  <c r="O108" i="24"/>
  <c r="M109" i="24"/>
  <c r="O109" i="24"/>
  <c r="M110" i="24"/>
  <c r="O110" i="24"/>
  <c r="M111" i="24"/>
  <c r="O111" i="24"/>
  <c r="M112" i="24"/>
  <c r="O112" i="24"/>
  <c r="M113" i="24"/>
  <c r="O113" i="24"/>
  <c r="M114" i="24"/>
  <c r="O114" i="24"/>
  <c r="M115" i="24"/>
  <c r="O115" i="24"/>
  <c r="M116" i="24"/>
  <c r="O116" i="24"/>
  <c r="M117" i="24"/>
  <c r="O117" i="24"/>
  <c r="M118" i="24"/>
  <c r="O118" i="24"/>
  <c r="M119" i="24"/>
  <c r="O119" i="24"/>
  <c r="M120" i="24"/>
  <c r="O120" i="24"/>
  <c r="M121" i="24"/>
  <c r="O121" i="24"/>
  <c r="M122" i="24"/>
  <c r="O122" i="24"/>
  <c r="M123" i="24"/>
  <c r="O123" i="24"/>
  <c r="M124" i="24"/>
  <c r="O124" i="24"/>
  <c r="M125" i="24"/>
  <c r="O125" i="24"/>
  <c r="M126" i="24"/>
  <c r="O126" i="24"/>
  <c r="M127" i="24"/>
  <c r="O127" i="24"/>
  <c r="M128" i="24"/>
  <c r="O128" i="24"/>
  <c r="M129" i="24"/>
  <c r="O129" i="24"/>
  <c r="M130" i="24"/>
  <c r="O130" i="24"/>
  <c r="M131" i="24"/>
  <c r="O131" i="24"/>
  <c r="P131" i="24"/>
  <c r="M132" i="24"/>
  <c r="O132" i="24"/>
  <c r="P132" i="24"/>
  <c r="M133" i="24"/>
  <c r="O133" i="24"/>
  <c r="P133" i="24"/>
  <c r="M134" i="24"/>
  <c r="O134" i="24"/>
  <c r="P134" i="24"/>
  <c r="M135" i="24"/>
  <c r="O135" i="24"/>
  <c r="P135" i="24"/>
  <c r="M136" i="24"/>
  <c r="O136" i="24"/>
  <c r="P136" i="24"/>
  <c r="M137" i="24"/>
  <c r="O137" i="24"/>
  <c r="P137" i="24"/>
  <c r="M138" i="24"/>
  <c r="O138" i="24"/>
  <c r="P138" i="24"/>
  <c r="M139" i="24"/>
  <c r="O139" i="24"/>
  <c r="P139" i="24"/>
  <c r="M140" i="24"/>
  <c r="O140" i="24"/>
  <c r="P140" i="24"/>
  <c r="M141" i="24"/>
  <c r="O141" i="24"/>
  <c r="P141" i="24"/>
  <c r="M142" i="24"/>
  <c r="O142" i="24"/>
  <c r="P142" i="24"/>
  <c r="M143" i="24"/>
  <c r="O143" i="24"/>
  <c r="P143" i="24"/>
  <c r="M144" i="24"/>
  <c r="O144" i="24"/>
  <c r="P144" i="24"/>
  <c r="M145" i="24"/>
  <c r="O145" i="24"/>
  <c r="P145" i="24"/>
  <c r="M146" i="24"/>
  <c r="O146" i="24"/>
  <c r="P146" i="24"/>
  <c r="J147" i="24"/>
  <c r="M147" i="24"/>
  <c r="O147" i="24"/>
  <c r="P147" i="24"/>
  <c r="J148" i="24"/>
  <c r="M148" i="24"/>
  <c r="O148" i="24"/>
  <c r="P148" i="24"/>
  <c r="J149" i="24"/>
  <c r="M149" i="24"/>
  <c r="O149" i="24"/>
  <c r="P149" i="24"/>
  <c r="J150" i="24"/>
  <c r="M150" i="24"/>
  <c r="O150" i="24"/>
  <c r="P150" i="24"/>
  <c r="J151" i="24"/>
  <c r="M151" i="24"/>
  <c r="O151" i="24"/>
  <c r="P151" i="24"/>
  <c r="J152" i="24"/>
  <c r="M152" i="24"/>
  <c r="O152" i="24"/>
  <c r="P152" i="24"/>
  <c r="J153" i="24"/>
  <c r="M153" i="24"/>
  <c r="O153" i="24"/>
  <c r="P153" i="24"/>
  <c r="J154" i="24"/>
  <c r="M154" i="24"/>
  <c r="O154" i="24"/>
  <c r="P154" i="24"/>
  <c r="N100" i="3"/>
  <c r="L100" i="3"/>
  <c r="M18" i="3"/>
  <c r="D10" i="3"/>
  <c r="K21" i="10"/>
  <c r="K18" i="3"/>
  <c r="K18" i="4"/>
  <c r="K18" i="5"/>
  <c r="K19" i="6"/>
  <c r="K21" i="7"/>
  <c r="K19" i="8"/>
  <c r="K20" i="9"/>
  <c r="L20" i="9" s="1"/>
  <c r="K20" i="11"/>
  <c r="K17" i="22"/>
  <c r="W28" i="17"/>
  <c r="B19" i="23"/>
  <c r="I17" i="23"/>
  <c r="P1" i="23"/>
  <c r="P83" i="23" s="1"/>
  <c r="I11" i="23"/>
  <c r="K11" i="23"/>
  <c r="L17" i="23"/>
  <c r="B18" i="23"/>
  <c r="L18" i="23"/>
  <c r="N18" i="23"/>
  <c r="O18" i="23" s="1"/>
  <c r="O25" i="23"/>
  <c r="L26" i="23"/>
  <c r="N26" i="23"/>
  <c r="L27" i="23"/>
  <c r="N27" i="23"/>
  <c r="L28" i="23"/>
  <c r="N28" i="23"/>
  <c r="L29" i="23"/>
  <c r="N29" i="23"/>
  <c r="L30" i="23"/>
  <c r="N30" i="23"/>
  <c r="L31" i="23"/>
  <c r="N31" i="23"/>
  <c r="L32" i="23"/>
  <c r="N32" i="23"/>
  <c r="L33" i="23"/>
  <c r="N33" i="23"/>
  <c r="L34" i="23"/>
  <c r="N34" i="23"/>
  <c r="L35" i="23"/>
  <c r="N35" i="23"/>
  <c r="L36" i="23"/>
  <c r="N36" i="23"/>
  <c r="L37" i="23"/>
  <c r="N37" i="23"/>
  <c r="L38" i="23"/>
  <c r="N38" i="23"/>
  <c r="L39" i="23"/>
  <c r="N39" i="23"/>
  <c r="L40" i="23"/>
  <c r="N40" i="23"/>
  <c r="L41" i="23"/>
  <c r="N41" i="23"/>
  <c r="L42" i="23"/>
  <c r="N42" i="23"/>
  <c r="L43" i="23"/>
  <c r="N43" i="23"/>
  <c r="L44" i="23"/>
  <c r="N44" i="23"/>
  <c r="L45" i="23"/>
  <c r="N45" i="23"/>
  <c r="L46" i="23"/>
  <c r="N46" i="23"/>
  <c r="L47" i="23"/>
  <c r="N47" i="23"/>
  <c r="L48" i="23"/>
  <c r="N48" i="23"/>
  <c r="L49" i="23"/>
  <c r="N49" i="23"/>
  <c r="L50" i="23"/>
  <c r="N50" i="23"/>
  <c r="L51" i="23"/>
  <c r="N51" i="23"/>
  <c r="L52" i="23"/>
  <c r="N52" i="23"/>
  <c r="L53" i="23"/>
  <c r="N53" i="23"/>
  <c r="L54" i="23"/>
  <c r="N54" i="23"/>
  <c r="L55" i="23"/>
  <c r="N55" i="23"/>
  <c r="L56" i="23"/>
  <c r="N56" i="23"/>
  <c r="L57" i="23"/>
  <c r="N57" i="23"/>
  <c r="L58" i="23"/>
  <c r="N58" i="23"/>
  <c r="L59" i="23"/>
  <c r="N59" i="23"/>
  <c r="L60" i="23"/>
  <c r="N60" i="23"/>
  <c r="L61" i="23"/>
  <c r="N61" i="23"/>
  <c r="L62" i="23"/>
  <c r="N62" i="23"/>
  <c r="L63" i="23"/>
  <c r="N63" i="23"/>
  <c r="L64" i="23"/>
  <c r="N64" i="23"/>
  <c r="L65" i="23"/>
  <c r="N65" i="23"/>
  <c r="L66" i="23"/>
  <c r="N66" i="23"/>
  <c r="L67" i="23"/>
  <c r="N67" i="23"/>
  <c r="L68" i="23"/>
  <c r="N68" i="23"/>
  <c r="L69" i="23"/>
  <c r="N69" i="23"/>
  <c r="L70" i="23"/>
  <c r="N70" i="23"/>
  <c r="L71" i="23"/>
  <c r="N71" i="23"/>
  <c r="L72" i="23"/>
  <c r="N72" i="23"/>
  <c r="D89" i="23"/>
  <c r="D91" i="23"/>
  <c r="J93" i="23"/>
  <c r="L93" i="23"/>
  <c r="D96" i="23"/>
  <c r="M99" i="23"/>
  <c r="M106" i="23"/>
  <c r="O106" i="23"/>
  <c r="P106" i="23" s="1"/>
  <c r="M107" i="23"/>
  <c r="O107" i="23"/>
  <c r="P107" i="23" s="1"/>
  <c r="M108" i="23"/>
  <c r="O108" i="23"/>
  <c r="P108" i="23" s="1"/>
  <c r="M109" i="23"/>
  <c r="O109" i="23"/>
  <c r="M110" i="23"/>
  <c r="O110" i="23"/>
  <c r="P110" i="23" s="1"/>
  <c r="M111" i="23"/>
  <c r="O111" i="23"/>
  <c r="P111" i="23" s="1"/>
  <c r="M112" i="23"/>
  <c r="O112" i="23"/>
  <c r="P112" i="23" s="1"/>
  <c r="M113" i="23"/>
  <c r="O113" i="23"/>
  <c r="M114" i="23"/>
  <c r="O114" i="23"/>
  <c r="P114" i="23" s="1"/>
  <c r="M115" i="23"/>
  <c r="O115" i="23"/>
  <c r="P115" i="23" s="1"/>
  <c r="M116" i="23"/>
  <c r="O116" i="23"/>
  <c r="P116" i="23" s="1"/>
  <c r="M117" i="23"/>
  <c r="O117" i="23"/>
  <c r="P117" i="23" s="1"/>
  <c r="M118" i="23"/>
  <c r="O118" i="23"/>
  <c r="M119" i="23"/>
  <c r="O119" i="23"/>
  <c r="P119" i="23" s="1"/>
  <c r="M120" i="23"/>
  <c r="O120" i="23"/>
  <c r="M121" i="23"/>
  <c r="O121" i="23"/>
  <c r="P121" i="23" s="1"/>
  <c r="M122" i="23"/>
  <c r="O122" i="23"/>
  <c r="M123" i="23"/>
  <c r="O123" i="23"/>
  <c r="M124" i="23"/>
  <c r="O124" i="23"/>
  <c r="P124" i="23" s="1"/>
  <c r="M125" i="23"/>
  <c r="O125" i="23"/>
  <c r="P125" i="23" s="1"/>
  <c r="M126" i="23"/>
  <c r="O126" i="23"/>
  <c r="P126" i="23" s="1"/>
  <c r="M127" i="23"/>
  <c r="O127" i="23"/>
  <c r="P127" i="23" s="1"/>
  <c r="M128" i="23"/>
  <c r="O128" i="23"/>
  <c r="P128" i="23" s="1"/>
  <c r="M129" i="23"/>
  <c r="O129" i="23"/>
  <c r="P129" i="23" s="1"/>
  <c r="M130" i="23"/>
  <c r="O130" i="23"/>
  <c r="J131" i="23"/>
  <c r="M131" i="23"/>
  <c r="O131" i="23"/>
  <c r="P131" i="23"/>
  <c r="J132" i="23"/>
  <c r="M132" i="23"/>
  <c r="O132" i="23"/>
  <c r="P132" i="23"/>
  <c r="J133" i="23"/>
  <c r="M133" i="23"/>
  <c r="O133" i="23"/>
  <c r="P133" i="23"/>
  <c r="J134" i="23"/>
  <c r="M134" i="23"/>
  <c r="O134" i="23"/>
  <c r="P134" i="23"/>
  <c r="J135" i="23"/>
  <c r="M135" i="23"/>
  <c r="O135" i="23"/>
  <c r="P135" i="23"/>
  <c r="J136" i="23"/>
  <c r="M136" i="23"/>
  <c r="O136" i="23"/>
  <c r="P136" i="23"/>
  <c r="J137" i="23"/>
  <c r="M137" i="23"/>
  <c r="O137" i="23"/>
  <c r="P137" i="23"/>
  <c r="J138" i="23"/>
  <c r="M138" i="23"/>
  <c r="O138" i="23"/>
  <c r="P138" i="23"/>
  <c r="J139" i="23"/>
  <c r="M139" i="23"/>
  <c r="O139" i="23"/>
  <c r="P139" i="23"/>
  <c r="J140" i="23"/>
  <c r="M140" i="23"/>
  <c r="O140" i="23"/>
  <c r="P140" i="23"/>
  <c r="J141" i="23"/>
  <c r="M141" i="23"/>
  <c r="O141" i="23"/>
  <c r="P141" i="23"/>
  <c r="J142" i="23"/>
  <c r="M142" i="23"/>
  <c r="O142" i="23"/>
  <c r="P142" i="23"/>
  <c r="J143" i="23"/>
  <c r="M143" i="23"/>
  <c r="O143" i="23"/>
  <c r="P143" i="23"/>
  <c r="J144" i="23"/>
  <c r="M144" i="23"/>
  <c r="O144" i="23"/>
  <c r="P144" i="23"/>
  <c r="J145" i="23"/>
  <c r="M145" i="23"/>
  <c r="O145" i="23"/>
  <c r="P145" i="23"/>
  <c r="J146" i="23"/>
  <c r="M146" i="23"/>
  <c r="O146" i="23"/>
  <c r="P146" i="23"/>
  <c r="J147" i="23"/>
  <c r="M147" i="23"/>
  <c r="O147" i="23"/>
  <c r="P147" i="23"/>
  <c r="J148" i="23"/>
  <c r="M148" i="23"/>
  <c r="O148" i="23"/>
  <c r="P148" i="23"/>
  <c r="J149" i="23"/>
  <c r="M149" i="23"/>
  <c r="O149" i="23"/>
  <c r="P149" i="23"/>
  <c r="J150" i="23"/>
  <c r="M150" i="23"/>
  <c r="O150" i="23"/>
  <c r="P150" i="23"/>
  <c r="J151" i="23"/>
  <c r="M151" i="23"/>
  <c r="O151" i="23"/>
  <c r="P151" i="23"/>
  <c r="J152" i="23"/>
  <c r="M152" i="23"/>
  <c r="O152" i="23"/>
  <c r="P152" i="23"/>
  <c r="J153" i="23"/>
  <c r="M153" i="23"/>
  <c r="O153" i="23"/>
  <c r="P153" i="23"/>
  <c r="J154" i="23"/>
  <c r="M154" i="23"/>
  <c r="O154" i="23"/>
  <c r="P154" i="23"/>
  <c r="M17" i="22"/>
  <c r="N17" i="22"/>
  <c r="N101" i="11"/>
  <c r="O101" i="11" s="1"/>
  <c r="L101" i="11"/>
  <c r="M20" i="11"/>
  <c r="M21" i="10"/>
  <c r="N102" i="10"/>
  <c r="L102" i="10"/>
  <c r="M20" i="9"/>
  <c r="N20" i="9"/>
  <c r="N101" i="9"/>
  <c r="L101" i="9"/>
  <c r="N100" i="8"/>
  <c r="L100" i="8"/>
  <c r="M19" i="8"/>
  <c r="N102" i="7"/>
  <c r="L102" i="7"/>
  <c r="M102" i="7" s="1"/>
  <c r="M21" i="7"/>
  <c r="N21" i="7" s="1"/>
  <c r="N100" i="6"/>
  <c r="L100" i="6"/>
  <c r="M19" i="6"/>
  <c r="N99" i="5"/>
  <c r="L99" i="5"/>
  <c r="M18" i="5"/>
  <c r="N99" i="4"/>
  <c r="L99" i="4"/>
  <c r="M18" i="4"/>
  <c r="N99" i="3"/>
  <c r="L99" i="3"/>
  <c r="D10" i="7"/>
  <c r="L18" i="7"/>
  <c r="B100" i="7"/>
  <c r="B102" i="8"/>
  <c r="B101" i="8"/>
  <c r="B100" i="8"/>
  <c r="B103" i="9"/>
  <c r="B102" i="9"/>
  <c r="B101" i="9"/>
  <c r="B100" i="9"/>
  <c r="B104" i="10"/>
  <c r="B103" i="10"/>
  <c r="B102" i="10"/>
  <c r="B101" i="10"/>
  <c r="B100" i="10"/>
  <c r="B103" i="11"/>
  <c r="B102" i="11"/>
  <c r="B101" i="11"/>
  <c r="B100" i="11"/>
  <c r="B100" i="22"/>
  <c r="B104" i="7"/>
  <c r="B103" i="7"/>
  <c r="B20" i="8"/>
  <c r="B19" i="8"/>
  <c r="B18" i="8"/>
  <c r="B22" i="9"/>
  <c r="B21" i="9"/>
  <c r="B20" i="9"/>
  <c r="B19" i="9"/>
  <c r="B18" i="9"/>
  <c r="B23" i="10"/>
  <c r="B22" i="10"/>
  <c r="B21" i="10"/>
  <c r="B20" i="10"/>
  <c r="B19" i="10"/>
  <c r="B18" i="10"/>
  <c r="B22" i="11"/>
  <c r="B21" i="11"/>
  <c r="B20" i="11"/>
  <c r="B19" i="11"/>
  <c r="B18" i="11"/>
  <c r="B18" i="22"/>
  <c r="I14" i="13"/>
  <c r="B22" i="7"/>
  <c r="B101" i="4"/>
  <c r="B100" i="4"/>
  <c r="B101" i="5"/>
  <c r="B100" i="5"/>
  <c r="B101" i="3"/>
  <c r="B100" i="3"/>
  <c r="B20" i="4"/>
  <c r="B19" i="4"/>
  <c r="B18" i="4"/>
  <c r="B20" i="5"/>
  <c r="B19" i="5"/>
  <c r="B18" i="5"/>
  <c r="B19" i="3"/>
  <c r="B18" i="3"/>
  <c r="B18" i="6"/>
  <c r="B20" i="6"/>
  <c r="B19" i="6"/>
  <c r="B102" i="6"/>
  <c r="B101" i="6"/>
  <c r="B100" i="6"/>
  <c r="I18" i="3"/>
  <c r="I19" i="3"/>
  <c r="D90" i="4"/>
  <c r="D90" i="5"/>
  <c r="D90" i="6"/>
  <c r="D90" i="7"/>
  <c r="D90" i="8"/>
  <c r="D8" i="9"/>
  <c r="D90" i="9"/>
  <c r="D90" i="10"/>
  <c r="D90" i="11"/>
  <c r="D90" i="22"/>
  <c r="D90" i="13"/>
  <c r="W27" i="17"/>
  <c r="N99" i="6"/>
  <c r="O99" i="6" s="1"/>
  <c r="P99" i="6" s="1"/>
  <c r="P1" i="22"/>
  <c r="P83" i="22" s="1"/>
  <c r="I11" i="22"/>
  <c r="K11" i="22"/>
  <c r="I17" i="22"/>
  <c r="L17" i="22"/>
  <c r="I18" i="22"/>
  <c r="L18" i="22"/>
  <c r="N18" i="22"/>
  <c r="O18" i="22" s="1"/>
  <c r="L19" i="22"/>
  <c r="N19" i="22"/>
  <c r="L27" i="22"/>
  <c r="N27" i="22"/>
  <c r="L28" i="22"/>
  <c r="N28" i="22"/>
  <c r="L29" i="22"/>
  <c r="N29" i="22"/>
  <c r="L30" i="22"/>
  <c r="N30" i="22"/>
  <c r="L31" i="22"/>
  <c r="N31" i="22"/>
  <c r="L32" i="22"/>
  <c r="N32" i="22"/>
  <c r="L33" i="22"/>
  <c r="N33" i="22"/>
  <c r="L34" i="22"/>
  <c r="N34" i="22"/>
  <c r="L35" i="22"/>
  <c r="N35" i="22"/>
  <c r="L36" i="22"/>
  <c r="N36" i="22"/>
  <c r="L37" i="22"/>
  <c r="N37" i="22"/>
  <c r="L38" i="22"/>
  <c r="N38" i="22"/>
  <c r="L39" i="22"/>
  <c r="N39" i="22"/>
  <c r="L40" i="22"/>
  <c r="N40" i="22"/>
  <c r="L41" i="22"/>
  <c r="N41" i="22"/>
  <c r="L42" i="22"/>
  <c r="N42" i="22"/>
  <c r="L43" i="22"/>
  <c r="N43" i="22"/>
  <c r="L44" i="22"/>
  <c r="N44" i="22"/>
  <c r="L45" i="22"/>
  <c r="N45" i="22"/>
  <c r="L46" i="22"/>
  <c r="N46" i="22"/>
  <c r="L47" i="22"/>
  <c r="N47" i="22"/>
  <c r="L48" i="22"/>
  <c r="N48" i="22"/>
  <c r="L49" i="22"/>
  <c r="N49" i="22"/>
  <c r="L50" i="22"/>
  <c r="N50" i="22"/>
  <c r="L51" i="22"/>
  <c r="N51" i="22"/>
  <c r="L52" i="22"/>
  <c r="N52" i="22"/>
  <c r="L53" i="22"/>
  <c r="N53" i="22"/>
  <c r="L54" i="22"/>
  <c r="N54" i="22"/>
  <c r="L55" i="22"/>
  <c r="N55" i="22"/>
  <c r="L56" i="22"/>
  <c r="N56" i="22"/>
  <c r="L57" i="22"/>
  <c r="N57" i="22"/>
  <c r="L58" i="22"/>
  <c r="N58" i="22"/>
  <c r="L59" i="22"/>
  <c r="N59" i="22"/>
  <c r="L60" i="22"/>
  <c r="N60" i="22"/>
  <c r="L61" i="22"/>
  <c r="N61" i="22"/>
  <c r="L62" i="22"/>
  <c r="N62" i="22"/>
  <c r="L63" i="22"/>
  <c r="N63" i="22"/>
  <c r="L64" i="22"/>
  <c r="N64" i="22"/>
  <c r="L65" i="22"/>
  <c r="N65" i="22"/>
  <c r="L66" i="22"/>
  <c r="N66" i="22"/>
  <c r="L67" i="22"/>
  <c r="N67" i="22"/>
  <c r="L68" i="22"/>
  <c r="N68" i="22"/>
  <c r="L69" i="22"/>
  <c r="N69" i="22"/>
  <c r="L70" i="22"/>
  <c r="N70" i="22"/>
  <c r="L71" i="22"/>
  <c r="N71" i="22"/>
  <c r="L72" i="22"/>
  <c r="N72" i="22"/>
  <c r="D89" i="22"/>
  <c r="D91" i="22"/>
  <c r="J93" i="22"/>
  <c r="L93" i="22"/>
  <c r="D96" i="22"/>
  <c r="J99" i="22"/>
  <c r="M99" i="22"/>
  <c r="O99" i="22"/>
  <c r="O100" i="22"/>
  <c r="M107" i="22"/>
  <c r="O107" i="22"/>
  <c r="P107" i="22" s="1"/>
  <c r="M108" i="22"/>
  <c r="O108" i="22"/>
  <c r="M109" i="22"/>
  <c r="O109" i="22"/>
  <c r="M110" i="22"/>
  <c r="O110" i="22"/>
  <c r="M111" i="22"/>
  <c r="O111" i="22"/>
  <c r="M112" i="22"/>
  <c r="O112" i="22"/>
  <c r="M113" i="22"/>
  <c r="O113" i="22"/>
  <c r="P113" i="22" s="1"/>
  <c r="M114" i="22"/>
  <c r="O114" i="22"/>
  <c r="M115" i="22"/>
  <c r="O115" i="22"/>
  <c r="M116" i="22"/>
  <c r="O116" i="22"/>
  <c r="M117" i="22"/>
  <c r="O117" i="22"/>
  <c r="M118" i="22"/>
  <c r="O118" i="22"/>
  <c r="M119" i="22"/>
  <c r="O119" i="22"/>
  <c r="P119" i="22" s="1"/>
  <c r="M120" i="22"/>
  <c r="O120" i="22"/>
  <c r="M121" i="22"/>
  <c r="O121" i="22"/>
  <c r="M122" i="22"/>
  <c r="O122" i="22"/>
  <c r="M123" i="22"/>
  <c r="O123" i="22"/>
  <c r="M124" i="22"/>
  <c r="O124" i="22"/>
  <c r="M125" i="22"/>
  <c r="O125" i="22"/>
  <c r="M126" i="22"/>
  <c r="O126" i="22"/>
  <c r="M127" i="22"/>
  <c r="O127" i="22"/>
  <c r="P127" i="22" s="1"/>
  <c r="M128" i="22"/>
  <c r="O128" i="22"/>
  <c r="M129" i="22"/>
  <c r="O129" i="22"/>
  <c r="M130" i="22"/>
  <c r="O130" i="22"/>
  <c r="J131" i="22"/>
  <c r="M131" i="22"/>
  <c r="O131" i="22"/>
  <c r="P131" i="22"/>
  <c r="J132" i="22"/>
  <c r="M132" i="22"/>
  <c r="O132" i="22"/>
  <c r="P132" i="22"/>
  <c r="J133" i="22"/>
  <c r="M133" i="22"/>
  <c r="O133" i="22"/>
  <c r="P133" i="22"/>
  <c r="J134" i="22"/>
  <c r="M134" i="22"/>
  <c r="O134" i="22"/>
  <c r="P134" i="22"/>
  <c r="J135" i="22"/>
  <c r="M135" i="22"/>
  <c r="O135" i="22"/>
  <c r="P135" i="22"/>
  <c r="J136" i="22"/>
  <c r="M136" i="22"/>
  <c r="O136" i="22"/>
  <c r="P136" i="22"/>
  <c r="J137" i="22"/>
  <c r="M137" i="22"/>
  <c r="O137" i="22"/>
  <c r="P137" i="22"/>
  <c r="J138" i="22"/>
  <c r="M138" i="22"/>
  <c r="O138" i="22"/>
  <c r="P138" i="22"/>
  <c r="J139" i="22"/>
  <c r="M139" i="22"/>
  <c r="O139" i="22"/>
  <c r="P139" i="22"/>
  <c r="J140" i="22"/>
  <c r="M140" i="22"/>
  <c r="O140" i="22"/>
  <c r="P140" i="22"/>
  <c r="J141" i="22"/>
  <c r="M141" i="22"/>
  <c r="O141" i="22"/>
  <c r="P141" i="22"/>
  <c r="J142" i="22"/>
  <c r="M142" i="22"/>
  <c r="O142" i="22"/>
  <c r="P142" i="22"/>
  <c r="J143" i="22"/>
  <c r="M143" i="22"/>
  <c r="O143" i="22"/>
  <c r="P143" i="22"/>
  <c r="J144" i="22"/>
  <c r="M144" i="22"/>
  <c r="O144" i="22"/>
  <c r="P144" i="22"/>
  <c r="J145" i="22"/>
  <c r="M145" i="22"/>
  <c r="O145" i="22"/>
  <c r="P145" i="22"/>
  <c r="J146" i="22"/>
  <c r="M146" i="22"/>
  <c r="O146" i="22"/>
  <c r="P146" i="22"/>
  <c r="J147" i="22"/>
  <c r="M147" i="22"/>
  <c r="O147" i="22"/>
  <c r="P147" i="22"/>
  <c r="J148" i="22"/>
  <c r="M148" i="22"/>
  <c r="O148" i="22"/>
  <c r="P148" i="22"/>
  <c r="J149" i="22"/>
  <c r="M149" i="22"/>
  <c r="O149" i="22"/>
  <c r="P149" i="22"/>
  <c r="J150" i="22"/>
  <c r="M150" i="22"/>
  <c r="O150" i="22"/>
  <c r="P150" i="22"/>
  <c r="J151" i="22"/>
  <c r="M151" i="22"/>
  <c r="O151" i="22"/>
  <c r="P151" i="22"/>
  <c r="J152" i="22"/>
  <c r="M152" i="22"/>
  <c r="O152" i="22"/>
  <c r="P152" i="22"/>
  <c r="J153" i="22"/>
  <c r="M153" i="22"/>
  <c r="O153" i="22"/>
  <c r="P153" i="22"/>
  <c r="J154" i="22"/>
  <c r="M154" i="22"/>
  <c r="O154" i="22"/>
  <c r="P154" i="22"/>
  <c r="P1" i="8"/>
  <c r="P83" i="8" s="1"/>
  <c r="P1" i="11"/>
  <c r="P83" i="11" s="1"/>
  <c r="G99" i="6"/>
  <c r="P12" i="17"/>
  <c r="L12" i="17"/>
  <c r="W26" i="17"/>
  <c r="W25" i="17"/>
  <c r="W24" i="17"/>
  <c r="W23" i="17"/>
  <c r="W22" i="17"/>
  <c r="W21" i="17"/>
  <c r="W20" i="17"/>
  <c r="W19" i="17"/>
  <c r="W18" i="17"/>
  <c r="G12" i="17"/>
  <c r="H3" i="3"/>
  <c r="H3" i="4"/>
  <c r="H3" i="5"/>
  <c r="H3" i="6"/>
  <c r="M101" i="7"/>
  <c r="C12" i="2"/>
  <c r="C12" i="1"/>
  <c r="P1" i="13"/>
  <c r="P83" i="13" s="1"/>
  <c r="P1" i="4"/>
  <c r="P83" i="4" s="1"/>
  <c r="P1" i="5"/>
  <c r="P83" i="5" s="1"/>
  <c r="P1" i="6"/>
  <c r="P83" i="6" s="1"/>
  <c r="P1" i="7"/>
  <c r="P83" i="7" s="1"/>
  <c r="P1" i="9"/>
  <c r="P83" i="9" s="1"/>
  <c r="P1" i="10"/>
  <c r="P83" i="10" s="1"/>
  <c r="P1" i="3"/>
  <c r="P83" i="3" s="1"/>
  <c r="O3" i="3"/>
  <c r="A5" i="2"/>
  <c r="A1" i="2"/>
  <c r="F13" i="2"/>
  <c r="C79" i="2" s="1"/>
  <c r="C89" i="2"/>
  <c r="I11" i="13"/>
  <c r="K11" i="13"/>
  <c r="L17" i="13"/>
  <c r="N17" i="13"/>
  <c r="L18" i="13"/>
  <c r="N18" i="13"/>
  <c r="L19" i="13"/>
  <c r="N19" i="13"/>
  <c r="L20" i="13"/>
  <c r="N20" i="13"/>
  <c r="L21" i="13"/>
  <c r="N21" i="13"/>
  <c r="L22" i="13"/>
  <c r="N22" i="13"/>
  <c r="L23" i="13"/>
  <c r="N23" i="13"/>
  <c r="L24" i="13"/>
  <c r="N24" i="13"/>
  <c r="L25" i="13"/>
  <c r="N25" i="13"/>
  <c r="L26" i="13"/>
  <c r="N26" i="13"/>
  <c r="L27" i="13"/>
  <c r="N27" i="13"/>
  <c r="L28" i="13"/>
  <c r="N28" i="13"/>
  <c r="L29" i="13"/>
  <c r="N29" i="13"/>
  <c r="L30" i="13"/>
  <c r="N30" i="13"/>
  <c r="L31" i="13"/>
  <c r="N31" i="13"/>
  <c r="L32" i="13"/>
  <c r="N32" i="13"/>
  <c r="L33" i="13"/>
  <c r="N33" i="13"/>
  <c r="L34" i="13"/>
  <c r="N34" i="13"/>
  <c r="L35" i="13"/>
  <c r="N35" i="13"/>
  <c r="L36" i="13"/>
  <c r="N36" i="13"/>
  <c r="L37" i="13"/>
  <c r="N37" i="13"/>
  <c r="L38" i="13"/>
  <c r="N38" i="13"/>
  <c r="L39" i="13"/>
  <c r="N39" i="13"/>
  <c r="L40" i="13"/>
  <c r="N40" i="13"/>
  <c r="L41" i="13"/>
  <c r="N41" i="13"/>
  <c r="L42" i="13"/>
  <c r="N42" i="13"/>
  <c r="L43" i="13"/>
  <c r="N43" i="13"/>
  <c r="O43" i="13" s="1"/>
  <c r="L44" i="13"/>
  <c r="N44" i="13"/>
  <c r="L45" i="13"/>
  <c r="N45" i="13"/>
  <c r="L46" i="13"/>
  <c r="N46" i="13"/>
  <c r="L47" i="13"/>
  <c r="N47" i="13"/>
  <c r="L48" i="13"/>
  <c r="N48" i="13"/>
  <c r="L49" i="13"/>
  <c r="N49" i="13"/>
  <c r="L50" i="13"/>
  <c r="N50" i="13"/>
  <c r="L51" i="13"/>
  <c r="N51" i="13"/>
  <c r="L52" i="13"/>
  <c r="N52" i="13"/>
  <c r="L53" i="13"/>
  <c r="N53" i="13"/>
  <c r="L54" i="13"/>
  <c r="N54" i="13"/>
  <c r="L55" i="13"/>
  <c r="N55" i="13"/>
  <c r="L56" i="13"/>
  <c r="N56" i="13"/>
  <c r="L57" i="13"/>
  <c r="N57" i="13"/>
  <c r="L58" i="13"/>
  <c r="N58" i="13"/>
  <c r="L59" i="13"/>
  <c r="N59" i="13"/>
  <c r="L60" i="13"/>
  <c r="N60" i="13"/>
  <c r="L61" i="13"/>
  <c r="N61" i="13"/>
  <c r="L62" i="13"/>
  <c r="N62" i="13"/>
  <c r="L63" i="13"/>
  <c r="N63" i="13"/>
  <c r="L64" i="13"/>
  <c r="N64" i="13"/>
  <c r="L65" i="13"/>
  <c r="N65" i="13"/>
  <c r="L66" i="13"/>
  <c r="N66" i="13"/>
  <c r="L67" i="13"/>
  <c r="N67" i="13"/>
  <c r="L68" i="13"/>
  <c r="N68" i="13"/>
  <c r="L69" i="13"/>
  <c r="N69" i="13"/>
  <c r="L70" i="13"/>
  <c r="N70" i="13"/>
  <c r="L71" i="13"/>
  <c r="N71" i="13"/>
  <c r="L72" i="13"/>
  <c r="N72" i="13"/>
  <c r="D89" i="13"/>
  <c r="D91" i="13"/>
  <c r="J93" i="13"/>
  <c r="L93" i="13"/>
  <c r="D96" i="13"/>
  <c r="M99" i="13"/>
  <c r="O99" i="13"/>
  <c r="M100" i="13"/>
  <c r="O100" i="13"/>
  <c r="M101" i="13"/>
  <c r="O101" i="13"/>
  <c r="M102" i="13"/>
  <c r="O102" i="13"/>
  <c r="M103" i="13"/>
  <c r="O103" i="13"/>
  <c r="M104" i="13"/>
  <c r="O104" i="13"/>
  <c r="M105" i="13"/>
  <c r="O105" i="13"/>
  <c r="M106" i="13"/>
  <c r="O106" i="13"/>
  <c r="M107" i="13"/>
  <c r="O107" i="13"/>
  <c r="M108" i="13"/>
  <c r="O108" i="13"/>
  <c r="M109" i="13"/>
  <c r="O109" i="13"/>
  <c r="M110" i="13"/>
  <c r="O110" i="13"/>
  <c r="M111" i="13"/>
  <c r="P111" i="13" s="1"/>
  <c r="O111" i="13"/>
  <c r="M112" i="13"/>
  <c r="O112" i="13"/>
  <c r="M113" i="13"/>
  <c r="O113" i="13"/>
  <c r="M114" i="13"/>
  <c r="O114" i="13"/>
  <c r="M115" i="13"/>
  <c r="O115" i="13"/>
  <c r="P115" i="13" s="1"/>
  <c r="M116" i="13"/>
  <c r="O116" i="13"/>
  <c r="M117" i="13"/>
  <c r="O117" i="13"/>
  <c r="M118" i="13"/>
  <c r="O118" i="13"/>
  <c r="M119" i="13"/>
  <c r="O119" i="13"/>
  <c r="M120" i="13"/>
  <c r="O120" i="13"/>
  <c r="M121" i="13"/>
  <c r="O121" i="13"/>
  <c r="M122" i="13"/>
  <c r="O122" i="13"/>
  <c r="M123" i="13"/>
  <c r="P123" i="13" s="1"/>
  <c r="O123" i="13"/>
  <c r="M124" i="13"/>
  <c r="O124" i="13"/>
  <c r="M125" i="13"/>
  <c r="O125" i="13"/>
  <c r="M126" i="13"/>
  <c r="O126" i="13"/>
  <c r="M127" i="13"/>
  <c r="O127" i="13"/>
  <c r="M128" i="13"/>
  <c r="O128" i="13"/>
  <c r="M129" i="13"/>
  <c r="O129" i="13"/>
  <c r="M130" i="13"/>
  <c r="O130" i="13"/>
  <c r="J131" i="13"/>
  <c r="M131" i="13"/>
  <c r="O131" i="13"/>
  <c r="P131" i="13"/>
  <c r="J132" i="13"/>
  <c r="M132" i="13"/>
  <c r="O132" i="13"/>
  <c r="P132" i="13"/>
  <c r="J133" i="13"/>
  <c r="M133" i="13"/>
  <c r="O133" i="13"/>
  <c r="P133" i="13"/>
  <c r="J134" i="13"/>
  <c r="M134" i="13"/>
  <c r="O134" i="13"/>
  <c r="P134" i="13"/>
  <c r="J135" i="13"/>
  <c r="M135" i="13"/>
  <c r="O135" i="13"/>
  <c r="P135" i="13"/>
  <c r="J136" i="13"/>
  <c r="M136" i="13"/>
  <c r="O136" i="13"/>
  <c r="P136" i="13"/>
  <c r="J137" i="13"/>
  <c r="M137" i="13"/>
  <c r="O137" i="13"/>
  <c r="P137" i="13"/>
  <c r="J138" i="13"/>
  <c r="M138" i="13"/>
  <c r="O138" i="13"/>
  <c r="P138" i="13"/>
  <c r="J139" i="13"/>
  <c r="M139" i="13"/>
  <c r="O139" i="13"/>
  <c r="P139" i="13"/>
  <c r="J140" i="13"/>
  <c r="M140" i="13"/>
  <c r="O140" i="13"/>
  <c r="P140" i="13"/>
  <c r="J141" i="13"/>
  <c r="M141" i="13"/>
  <c r="O141" i="13"/>
  <c r="P141" i="13"/>
  <c r="J142" i="13"/>
  <c r="M142" i="13"/>
  <c r="O142" i="13"/>
  <c r="P142" i="13"/>
  <c r="J143" i="13"/>
  <c r="M143" i="13"/>
  <c r="O143" i="13"/>
  <c r="P143" i="13"/>
  <c r="J144" i="13"/>
  <c r="M144" i="13"/>
  <c r="O144" i="13"/>
  <c r="P144" i="13"/>
  <c r="J145" i="13"/>
  <c r="M145" i="13"/>
  <c r="O145" i="13"/>
  <c r="P145" i="13"/>
  <c r="J146" i="13"/>
  <c r="M146" i="13"/>
  <c r="O146" i="13"/>
  <c r="P146" i="13"/>
  <c r="J147" i="13"/>
  <c r="M147" i="13"/>
  <c r="O147" i="13"/>
  <c r="P147" i="13"/>
  <c r="J148" i="13"/>
  <c r="M148" i="13"/>
  <c r="O148" i="13"/>
  <c r="P148" i="13"/>
  <c r="J149" i="13"/>
  <c r="M149" i="13"/>
  <c r="O149" i="13"/>
  <c r="P149" i="13"/>
  <c r="J150" i="13"/>
  <c r="M150" i="13"/>
  <c r="O150" i="13"/>
  <c r="P150" i="13"/>
  <c r="J151" i="13"/>
  <c r="M151" i="13"/>
  <c r="O151" i="13"/>
  <c r="P151" i="13"/>
  <c r="J152" i="13"/>
  <c r="M152" i="13"/>
  <c r="O152" i="13"/>
  <c r="P152" i="13"/>
  <c r="J153" i="13"/>
  <c r="M153" i="13"/>
  <c r="O153" i="13"/>
  <c r="P153" i="13"/>
  <c r="J154" i="13"/>
  <c r="M154" i="13"/>
  <c r="O154" i="13"/>
  <c r="P154" i="13"/>
  <c r="I11" i="11"/>
  <c r="K11" i="11"/>
  <c r="I17" i="11"/>
  <c r="L17" i="11"/>
  <c r="N17" i="11"/>
  <c r="O17" i="11" s="1"/>
  <c r="I18" i="11"/>
  <c r="L18" i="11"/>
  <c r="N18" i="11"/>
  <c r="O18" i="11" s="1"/>
  <c r="I19" i="11"/>
  <c r="L19" i="11"/>
  <c r="N19" i="11"/>
  <c r="O19" i="11" s="1"/>
  <c r="I20" i="11"/>
  <c r="L20" i="11"/>
  <c r="N20" i="11"/>
  <c r="O20" i="11" s="1"/>
  <c r="I21" i="11"/>
  <c r="L21" i="11"/>
  <c r="N21" i="11"/>
  <c r="O21" i="11" s="1"/>
  <c r="L22" i="11"/>
  <c r="N22" i="11"/>
  <c r="O22" i="11" s="1"/>
  <c r="L30" i="11"/>
  <c r="N30" i="11"/>
  <c r="L31" i="11"/>
  <c r="N31" i="11"/>
  <c r="L32" i="11"/>
  <c r="N32" i="11"/>
  <c r="L33" i="11"/>
  <c r="N33" i="11"/>
  <c r="L34" i="11"/>
  <c r="N34" i="11"/>
  <c r="L35" i="11"/>
  <c r="N35" i="11"/>
  <c r="L36" i="11"/>
  <c r="N36" i="11"/>
  <c r="L37" i="11"/>
  <c r="N37" i="11"/>
  <c r="L38" i="11"/>
  <c r="N38" i="11"/>
  <c r="L39" i="11"/>
  <c r="N39" i="11"/>
  <c r="L40" i="11"/>
  <c r="N40" i="11"/>
  <c r="L41" i="11"/>
  <c r="N41" i="11"/>
  <c r="L42" i="11"/>
  <c r="N42" i="11"/>
  <c r="L43" i="11"/>
  <c r="N43" i="11"/>
  <c r="L44" i="11"/>
  <c r="N44" i="11"/>
  <c r="L45" i="11"/>
  <c r="N45" i="11"/>
  <c r="L46" i="11"/>
  <c r="N46" i="11"/>
  <c r="L47" i="11"/>
  <c r="N47" i="11"/>
  <c r="L48" i="11"/>
  <c r="N48" i="11"/>
  <c r="L49" i="11"/>
  <c r="N49" i="11"/>
  <c r="L50" i="11"/>
  <c r="N50" i="11"/>
  <c r="L51" i="11"/>
  <c r="N51" i="11"/>
  <c r="L52" i="11"/>
  <c r="N52" i="11"/>
  <c r="L53" i="11"/>
  <c r="N53" i="11"/>
  <c r="L54" i="11"/>
  <c r="N54" i="11"/>
  <c r="L55" i="11"/>
  <c r="N55" i="11"/>
  <c r="L56" i="11"/>
  <c r="N56" i="11"/>
  <c r="L57" i="11"/>
  <c r="N57" i="11"/>
  <c r="L58" i="11"/>
  <c r="N58" i="11"/>
  <c r="L59" i="11"/>
  <c r="N59" i="11"/>
  <c r="L60" i="11"/>
  <c r="N60" i="11"/>
  <c r="L61" i="11"/>
  <c r="N61" i="11"/>
  <c r="L62" i="11"/>
  <c r="N62" i="11"/>
  <c r="L63" i="11"/>
  <c r="N63" i="11"/>
  <c r="L64" i="11"/>
  <c r="N64" i="11"/>
  <c r="L65" i="11"/>
  <c r="N65" i="11"/>
  <c r="L66" i="11"/>
  <c r="N66" i="11"/>
  <c r="L67" i="11"/>
  <c r="N67" i="11"/>
  <c r="L68" i="11"/>
  <c r="N68" i="11"/>
  <c r="L69" i="11"/>
  <c r="N69" i="11"/>
  <c r="L70" i="11"/>
  <c r="N70" i="11"/>
  <c r="L71" i="11"/>
  <c r="N71" i="11"/>
  <c r="L72" i="11"/>
  <c r="N72" i="11"/>
  <c r="D89" i="11"/>
  <c r="D91" i="11"/>
  <c r="J93" i="11"/>
  <c r="L93" i="11"/>
  <c r="D96" i="11"/>
  <c r="J99" i="11"/>
  <c r="M99" i="11"/>
  <c r="O99" i="11"/>
  <c r="J100" i="11"/>
  <c r="M100" i="11"/>
  <c r="O100" i="11"/>
  <c r="P100" i="11"/>
  <c r="J101" i="11"/>
  <c r="M101" i="11"/>
  <c r="J102" i="11"/>
  <c r="M102" i="11"/>
  <c r="O102" i="11"/>
  <c r="P102" i="11"/>
  <c r="M103" i="11"/>
  <c r="P103" i="11"/>
  <c r="O103" i="11"/>
  <c r="M110" i="11"/>
  <c r="O110" i="11"/>
  <c r="M111" i="11"/>
  <c r="O111" i="11"/>
  <c r="M112" i="11"/>
  <c r="O112" i="11"/>
  <c r="M113" i="11"/>
  <c r="O113" i="11"/>
  <c r="P113" i="11" s="1"/>
  <c r="M114" i="11"/>
  <c r="O114" i="11"/>
  <c r="M115" i="11"/>
  <c r="O115" i="11"/>
  <c r="P115" i="11" s="1"/>
  <c r="M116" i="11"/>
  <c r="O116" i="11"/>
  <c r="M117" i="11"/>
  <c r="O117" i="11"/>
  <c r="P117" i="11" s="1"/>
  <c r="M118" i="11"/>
  <c r="O118" i="11"/>
  <c r="M119" i="11"/>
  <c r="O119" i="11"/>
  <c r="M120" i="11"/>
  <c r="O120" i="11"/>
  <c r="M121" i="11"/>
  <c r="O121" i="11"/>
  <c r="M122" i="11"/>
  <c r="O122" i="11"/>
  <c r="M123" i="11"/>
  <c r="O123" i="11"/>
  <c r="M124" i="11"/>
  <c r="O124" i="11"/>
  <c r="M125" i="11"/>
  <c r="O125" i="11"/>
  <c r="M126" i="11"/>
  <c r="O126" i="11"/>
  <c r="M127" i="11"/>
  <c r="O127" i="11"/>
  <c r="M128" i="11"/>
  <c r="O128" i="11"/>
  <c r="M129" i="11"/>
  <c r="O129" i="11"/>
  <c r="M130" i="11"/>
  <c r="O130" i="11"/>
  <c r="J131" i="11"/>
  <c r="M131" i="11"/>
  <c r="O131" i="11"/>
  <c r="P131" i="11"/>
  <c r="J132" i="11"/>
  <c r="M132" i="11"/>
  <c r="O132" i="11"/>
  <c r="P132" i="11"/>
  <c r="J133" i="11"/>
  <c r="M133" i="11"/>
  <c r="O133" i="11"/>
  <c r="P133" i="11"/>
  <c r="J134" i="11"/>
  <c r="M134" i="11"/>
  <c r="O134" i="11"/>
  <c r="P134" i="11"/>
  <c r="J135" i="11"/>
  <c r="M135" i="11"/>
  <c r="O135" i="11"/>
  <c r="P135" i="11"/>
  <c r="J136" i="11"/>
  <c r="M136" i="11"/>
  <c r="O136" i="11"/>
  <c r="P136" i="11"/>
  <c r="J137" i="11"/>
  <c r="M137" i="11"/>
  <c r="O137" i="11"/>
  <c r="P137" i="11"/>
  <c r="J138" i="11"/>
  <c r="M138" i="11"/>
  <c r="O138" i="11"/>
  <c r="P138" i="11"/>
  <c r="J139" i="11"/>
  <c r="M139" i="11"/>
  <c r="O139" i="11"/>
  <c r="P139" i="11"/>
  <c r="J140" i="11"/>
  <c r="M140" i="11"/>
  <c r="O140" i="11"/>
  <c r="P140" i="11"/>
  <c r="J141" i="11"/>
  <c r="M141" i="11"/>
  <c r="O141" i="11"/>
  <c r="P141" i="11"/>
  <c r="J142" i="11"/>
  <c r="M142" i="11"/>
  <c r="O142" i="11"/>
  <c r="P142" i="11"/>
  <c r="J143" i="11"/>
  <c r="M143" i="11"/>
  <c r="O143" i="11"/>
  <c r="P143" i="11"/>
  <c r="J144" i="11"/>
  <c r="M144" i="11"/>
  <c r="O144" i="11"/>
  <c r="P144" i="11"/>
  <c r="J145" i="11"/>
  <c r="M145" i="11"/>
  <c r="O145" i="11"/>
  <c r="P145" i="11"/>
  <c r="J146" i="11"/>
  <c r="M146" i="11"/>
  <c r="O146" i="11"/>
  <c r="P146" i="11"/>
  <c r="J147" i="11"/>
  <c r="M147" i="11"/>
  <c r="O147" i="11"/>
  <c r="P147" i="11"/>
  <c r="J148" i="11"/>
  <c r="M148" i="11"/>
  <c r="O148" i="11"/>
  <c r="P148" i="11"/>
  <c r="J149" i="11"/>
  <c r="M149" i="11"/>
  <c r="O149" i="11"/>
  <c r="P149" i="11"/>
  <c r="J150" i="11"/>
  <c r="M150" i="11"/>
  <c r="O150" i="11"/>
  <c r="P150" i="11"/>
  <c r="J151" i="11"/>
  <c r="M151" i="11"/>
  <c r="O151" i="11"/>
  <c r="P151" i="11"/>
  <c r="J152" i="11"/>
  <c r="M152" i="11"/>
  <c r="O152" i="11"/>
  <c r="P152" i="11"/>
  <c r="J153" i="11"/>
  <c r="M153" i="11"/>
  <c r="O153" i="11"/>
  <c r="P153" i="11"/>
  <c r="J154" i="11"/>
  <c r="M154" i="11"/>
  <c r="O154" i="11"/>
  <c r="P154" i="11"/>
  <c r="I11" i="10"/>
  <c r="K11" i="10"/>
  <c r="I17" i="10"/>
  <c r="L17" i="10"/>
  <c r="N17" i="10"/>
  <c r="O17" i="10" s="1"/>
  <c r="I18" i="10"/>
  <c r="L18" i="10"/>
  <c r="N18" i="10"/>
  <c r="I19" i="10"/>
  <c r="L19" i="10"/>
  <c r="N19" i="10"/>
  <c r="O19" i="10" s="1"/>
  <c r="I20" i="10"/>
  <c r="L20" i="10"/>
  <c r="N20" i="10"/>
  <c r="I21" i="10"/>
  <c r="L21" i="10"/>
  <c r="N21" i="10"/>
  <c r="I22" i="10"/>
  <c r="L22" i="10"/>
  <c r="N22" i="10"/>
  <c r="O22" i="10" s="1"/>
  <c r="L23" i="10"/>
  <c r="N23" i="10"/>
  <c r="O23" i="10" s="1"/>
  <c r="L31" i="10"/>
  <c r="N31" i="10"/>
  <c r="L32" i="10"/>
  <c r="N32" i="10"/>
  <c r="L33" i="10"/>
  <c r="N33" i="10"/>
  <c r="L34" i="10"/>
  <c r="N34" i="10"/>
  <c r="L35" i="10"/>
  <c r="N35" i="10"/>
  <c r="L36" i="10"/>
  <c r="N36" i="10"/>
  <c r="L37" i="10"/>
  <c r="N37" i="10"/>
  <c r="L38" i="10"/>
  <c r="N38" i="10"/>
  <c r="L39" i="10"/>
  <c r="N39" i="10"/>
  <c r="L40" i="10"/>
  <c r="N40" i="10"/>
  <c r="L41" i="10"/>
  <c r="N41" i="10"/>
  <c r="L42" i="10"/>
  <c r="N42" i="10"/>
  <c r="L43" i="10"/>
  <c r="N43" i="10"/>
  <c r="L44" i="10"/>
  <c r="N44" i="10"/>
  <c r="L45" i="10"/>
  <c r="N45" i="10"/>
  <c r="L46" i="10"/>
  <c r="N46" i="10"/>
  <c r="L47" i="10"/>
  <c r="N47" i="10"/>
  <c r="L48" i="10"/>
  <c r="N48" i="10"/>
  <c r="L49" i="10"/>
  <c r="N49" i="10"/>
  <c r="L50" i="10"/>
  <c r="O50" i="10" s="1"/>
  <c r="N50" i="10"/>
  <c r="L51" i="10"/>
  <c r="N51" i="10"/>
  <c r="L52" i="10"/>
  <c r="N52" i="10"/>
  <c r="L53" i="10"/>
  <c r="N53" i="10"/>
  <c r="L54" i="10"/>
  <c r="N54" i="10"/>
  <c r="L55" i="10"/>
  <c r="N55" i="10"/>
  <c r="L56" i="10"/>
  <c r="N56" i="10"/>
  <c r="L57" i="10"/>
  <c r="N57" i="10"/>
  <c r="L58" i="10"/>
  <c r="N58" i="10"/>
  <c r="L59" i="10"/>
  <c r="N59" i="10"/>
  <c r="L60" i="10"/>
  <c r="N60" i="10"/>
  <c r="L61" i="10"/>
  <c r="N61" i="10"/>
  <c r="L62" i="10"/>
  <c r="N62" i="10"/>
  <c r="L63" i="10"/>
  <c r="N63" i="10"/>
  <c r="L64" i="10"/>
  <c r="N64" i="10"/>
  <c r="L65" i="10"/>
  <c r="N65" i="10"/>
  <c r="L66" i="10"/>
  <c r="N66" i="10"/>
  <c r="L67" i="10"/>
  <c r="N67" i="10"/>
  <c r="L68" i="10"/>
  <c r="N68" i="10"/>
  <c r="L69" i="10"/>
  <c r="N69" i="10"/>
  <c r="L70" i="10"/>
  <c r="N70" i="10"/>
  <c r="L71" i="10"/>
  <c r="N71" i="10"/>
  <c r="L72" i="10"/>
  <c r="N72" i="10"/>
  <c r="D89" i="10"/>
  <c r="D91" i="10"/>
  <c r="J93" i="10"/>
  <c r="L93" i="10"/>
  <c r="D96" i="10"/>
  <c r="J99" i="10"/>
  <c r="M99" i="10"/>
  <c r="O99" i="10"/>
  <c r="P99" i="10"/>
  <c r="J100" i="10"/>
  <c r="M100" i="10"/>
  <c r="O100" i="10"/>
  <c r="P100" i="10" s="1"/>
  <c r="J101" i="10"/>
  <c r="M101" i="10"/>
  <c r="O101" i="10"/>
  <c r="P101" i="10"/>
  <c r="J102" i="10"/>
  <c r="M102" i="10"/>
  <c r="O102" i="10"/>
  <c r="P102" i="10" s="1"/>
  <c r="J103" i="10"/>
  <c r="M103" i="10"/>
  <c r="O103" i="10"/>
  <c r="P103" i="10"/>
  <c r="M104" i="10"/>
  <c r="O104" i="10"/>
  <c r="M111" i="10"/>
  <c r="O111" i="10"/>
  <c r="M112" i="10"/>
  <c r="O112" i="10"/>
  <c r="M113" i="10"/>
  <c r="O113" i="10"/>
  <c r="M114" i="10"/>
  <c r="O114" i="10"/>
  <c r="M115" i="10"/>
  <c r="O115" i="10"/>
  <c r="M116" i="10"/>
  <c r="O116" i="10"/>
  <c r="P116" i="10" s="1"/>
  <c r="M117" i="10"/>
  <c r="O117" i="10"/>
  <c r="M118" i="10"/>
  <c r="O118" i="10"/>
  <c r="M119" i="10"/>
  <c r="O119" i="10"/>
  <c r="M120" i="10"/>
  <c r="O120" i="10"/>
  <c r="M121" i="10"/>
  <c r="O121" i="10"/>
  <c r="M122" i="10"/>
  <c r="O122" i="10"/>
  <c r="M123" i="10"/>
  <c r="O123" i="10"/>
  <c r="M124" i="10"/>
  <c r="O124" i="10"/>
  <c r="M125" i="10"/>
  <c r="O125" i="10"/>
  <c r="M126" i="10"/>
  <c r="O126" i="10"/>
  <c r="M127" i="10"/>
  <c r="O127" i="10"/>
  <c r="M128" i="10"/>
  <c r="O128" i="10"/>
  <c r="M129" i="10"/>
  <c r="O129" i="10"/>
  <c r="M130" i="10"/>
  <c r="O130" i="10"/>
  <c r="M131" i="10"/>
  <c r="O131" i="10"/>
  <c r="M132" i="10"/>
  <c r="O132" i="10"/>
  <c r="M133" i="10"/>
  <c r="O133" i="10"/>
  <c r="M134" i="10"/>
  <c r="O134" i="10"/>
  <c r="P134" i="10" s="1"/>
  <c r="M135" i="10"/>
  <c r="O135" i="10"/>
  <c r="M136" i="10"/>
  <c r="O136" i="10"/>
  <c r="M137" i="10"/>
  <c r="O137" i="10"/>
  <c r="M138" i="10"/>
  <c r="O138" i="10"/>
  <c r="M139" i="10"/>
  <c r="O139" i="10"/>
  <c r="M140" i="10"/>
  <c r="O140" i="10"/>
  <c r="P140" i="10" s="1"/>
  <c r="M141" i="10"/>
  <c r="O141" i="10"/>
  <c r="P141" i="10" s="1"/>
  <c r="M142" i="10"/>
  <c r="O142" i="10"/>
  <c r="M143" i="10"/>
  <c r="O143" i="10"/>
  <c r="P143" i="10" s="1"/>
  <c r="M144" i="10"/>
  <c r="O144" i="10"/>
  <c r="M145" i="10"/>
  <c r="O145" i="10"/>
  <c r="P145" i="10" s="1"/>
  <c r="M146" i="10"/>
  <c r="O146" i="10"/>
  <c r="P146" i="10" s="1"/>
  <c r="M147" i="10"/>
  <c r="O147" i="10"/>
  <c r="P147" i="10" s="1"/>
  <c r="M148" i="10"/>
  <c r="O148" i="10"/>
  <c r="P148" i="10" s="1"/>
  <c r="M149" i="10"/>
  <c r="O149" i="10"/>
  <c r="M150" i="10"/>
  <c r="O150" i="10"/>
  <c r="M151" i="10"/>
  <c r="O151" i="10"/>
  <c r="M152" i="10"/>
  <c r="O152" i="10"/>
  <c r="P152" i="10" s="1"/>
  <c r="M153" i="10"/>
  <c r="O153" i="10"/>
  <c r="P153" i="10" s="1"/>
  <c r="M154" i="10"/>
  <c r="O154" i="10"/>
  <c r="P154" i="10" s="1"/>
  <c r="I11" i="9"/>
  <c r="K11" i="9"/>
  <c r="I17" i="9"/>
  <c r="L17" i="9"/>
  <c r="N17" i="9"/>
  <c r="O17" i="9" s="1"/>
  <c r="I18" i="9"/>
  <c r="L18" i="9"/>
  <c r="O18" i="9" s="1"/>
  <c r="N18" i="9"/>
  <c r="I19" i="9"/>
  <c r="L19" i="9"/>
  <c r="N19" i="9"/>
  <c r="O19" i="9" s="1"/>
  <c r="I21" i="9"/>
  <c r="L21" i="9"/>
  <c r="O21" i="9" s="1"/>
  <c r="N21" i="9"/>
  <c r="L22" i="9"/>
  <c r="N22" i="9"/>
  <c r="O22" i="9" s="1"/>
  <c r="L30" i="9"/>
  <c r="N30" i="9"/>
  <c r="L31" i="9"/>
  <c r="N31" i="9"/>
  <c r="L32" i="9"/>
  <c r="N32" i="9"/>
  <c r="L33" i="9"/>
  <c r="N33" i="9"/>
  <c r="L34" i="9"/>
  <c r="N34" i="9"/>
  <c r="L35" i="9"/>
  <c r="N35" i="9"/>
  <c r="L36" i="9"/>
  <c r="N36" i="9"/>
  <c r="L37" i="9"/>
  <c r="N37" i="9"/>
  <c r="L38" i="9"/>
  <c r="N38" i="9"/>
  <c r="L39" i="9"/>
  <c r="N39" i="9"/>
  <c r="L40" i="9"/>
  <c r="N40" i="9"/>
  <c r="L41" i="9"/>
  <c r="N41" i="9"/>
  <c r="L42" i="9"/>
  <c r="N42" i="9"/>
  <c r="L43" i="9"/>
  <c r="N43" i="9"/>
  <c r="L44" i="9"/>
  <c r="N44" i="9"/>
  <c r="L45" i="9"/>
  <c r="N45" i="9"/>
  <c r="L46" i="9"/>
  <c r="N46" i="9"/>
  <c r="L47" i="9"/>
  <c r="N47" i="9"/>
  <c r="L48" i="9"/>
  <c r="N48" i="9"/>
  <c r="L49" i="9"/>
  <c r="N49" i="9"/>
  <c r="L50" i="9"/>
  <c r="N50" i="9"/>
  <c r="L51" i="9"/>
  <c r="N51" i="9"/>
  <c r="L52" i="9"/>
  <c r="N52" i="9"/>
  <c r="L53" i="9"/>
  <c r="N53" i="9"/>
  <c r="L54" i="9"/>
  <c r="N54" i="9"/>
  <c r="O54" i="9" s="1"/>
  <c r="L55" i="9"/>
  <c r="N55" i="9"/>
  <c r="L56" i="9"/>
  <c r="N56" i="9"/>
  <c r="L57" i="9"/>
  <c r="N57" i="9"/>
  <c r="L58" i="9"/>
  <c r="N58" i="9"/>
  <c r="L59" i="9"/>
  <c r="N59" i="9"/>
  <c r="L60" i="9"/>
  <c r="N60" i="9"/>
  <c r="L61" i="9"/>
  <c r="N61" i="9"/>
  <c r="L62" i="9"/>
  <c r="N62" i="9"/>
  <c r="O62" i="9" s="1"/>
  <c r="L63" i="9"/>
  <c r="N63" i="9"/>
  <c r="L64" i="9"/>
  <c r="N64" i="9"/>
  <c r="L65" i="9"/>
  <c r="N65" i="9"/>
  <c r="L66" i="9"/>
  <c r="N66" i="9"/>
  <c r="L67" i="9"/>
  <c r="N67" i="9"/>
  <c r="L68" i="9"/>
  <c r="N68" i="9"/>
  <c r="L69" i="9"/>
  <c r="N69" i="9"/>
  <c r="L70" i="9"/>
  <c r="N70" i="9"/>
  <c r="L71" i="9"/>
  <c r="N71" i="9"/>
  <c r="L72" i="9"/>
  <c r="N72" i="9"/>
  <c r="D89" i="9"/>
  <c r="D91" i="9"/>
  <c r="J93" i="9"/>
  <c r="L93" i="9"/>
  <c r="D96" i="9"/>
  <c r="J99" i="9"/>
  <c r="M99" i="9"/>
  <c r="O99" i="9"/>
  <c r="P99" i="9" s="1"/>
  <c r="J100" i="9"/>
  <c r="M100" i="9"/>
  <c r="O100" i="9"/>
  <c r="P100" i="9" s="1"/>
  <c r="J101" i="9"/>
  <c r="M101" i="9"/>
  <c r="O101" i="9"/>
  <c r="P101" i="9" s="1"/>
  <c r="J102" i="9"/>
  <c r="O102" i="9"/>
  <c r="P102" i="9" s="1"/>
  <c r="M103" i="9"/>
  <c r="O103" i="9"/>
  <c r="P103" i="9" s="1"/>
  <c r="M110" i="9"/>
  <c r="O110" i="9"/>
  <c r="M111" i="9"/>
  <c r="O111" i="9"/>
  <c r="M112" i="9"/>
  <c r="P112" i="9" s="1"/>
  <c r="O112" i="9"/>
  <c r="M113" i="9"/>
  <c r="P113" i="9" s="1"/>
  <c r="O113" i="9"/>
  <c r="M114" i="9"/>
  <c r="P114" i="9" s="1"/>
  <c r="O114" i="9"/>
  <c r="M115" i="9"/>
  <c r="O115" i="9"/>
  <c r="M116" i="9"/>
  <c r="P116" i="9" s="1"/>
  <c r="O116" i="9"/>
  <c r="M117" i="9"/>
  <c r="O117" i="9"/>
  <c r="M118" i="9"/>
  <c r="O118" i="9"/>
  <c r="M119" i="9"/>
  <c r="O119" i="9"/>
  <c r="M120" i="9"/>
  <c r="P120" i="9" s="1"/>
  <c r="O120" i="9"/>
  <c r="M121" i="9"/>
  <c r="O121" i="9"/>
  <c r="M122" i="9"/>
  <c r="O122" i="9"/>
  <c r="M123" i="9"/>
  <c r="P123" i="9" s="1"/>
  <c r="O123" i="9"/>
  <c r="M124" i="9"/>
  <c r="P124" i="9" s="1"/>
  <c r="O124" i="9"/>
  <c r="M125" i="9"/>
  <c r="O125" i="9"/>
  <c r="M126" i="9"/>
  <c r="P126" i="9" s="1"/>
  <c r="O126" i="9"/>
  <c r="M127" i="9"/>
  <c r="P127" i="9" s="1"/>
  <c r="O127" i="9"/>
  <c r="M128" i="9"/>
  <c r="P128" i="9" s="1"/>
  <c r="O128" i="9"/>
  <c r="M129" i="9"/>
  <c r="O129" i="9"/>
  <c r="M130" i="9"/>
  <c r="P130" i="9" s="1"/>
  <c r="O130" i="9"/>
  <c r="J131" i="9"/>
  <c r="M131" i="9"/>
  <c r="O131" i="9"/>
  <c r="P131" i="9"/>
  <c r="J132" i="9"/>
  <c r="M132" i="9"/>
  <c r="O132" i="9"/>
  <c r="P132" i="9"/>
  <c r="J133" i="9"/>
  <c r="M133" i="9"/>
  <c r="O133" i="9"/>
  <c r="P133" i="9"/>
  <c r="J134" i="9"/>
  <c r="M134" i="9"/>
  <c r="O134" i="9"/>
  <c r="P134" i="9"/>
  <c r="J135" i="9"/>
  <c r="M135" i="9"/>
  <c r="O135" i="9"/>
  <c r="P135" i="9"/>
  <c r="J136" i="9"/>
  <c r="M136" i="9"/>
  <c r="O136" i="9"/>
  <c r="P136" i="9"/>
  <c r="J137" i="9"/>
  <c r="M137" i="9"/>
  <c r="O137" i="9"/>
  <c r="P137" i="9"/>
  <c r="J138" i="9"/>
  <c r="M138" i="9"/>
  <c r="O138" i="9"/>
  <c r="P138" i="9"/>
  <c r="J139" i="9"/>
  <c r="M139" i="9"/>
  <c r="O139" i="9"/>
  <c r="P139" i="9"/>
  <c r="J140" i="9"/>
  <c r="M140" i="9"/>
  <c r="O140" i="9"/>
  <c r="P140" i="9"/>
  <c r="J141" i="9"/>
  <c r="M141" i="9"/>
  <c r="O141" i="9"/>
  <c r="P141" i="9"/>
  <c r="J142" i="9"/>
  <c r="M142" i="9"/>
  <c r="O142" i="9"/>
  <c r="P142" i="9"/>
  <c r="J143" i="9"/>
  <c r="M143" i="9"/>
  <c r="O143" i="9"/>
  <c r="P143" i="9"/>
  <c r="J144" i="9"/>
  <c r="M144" i="9"/>
  <c r="O144" i="9"/>
  <c r="P144" i="9"/>
  <c r="J145" i="9"/>
  <c r="M145" i="9"/>
  <c r="O145" i="9"/>
  <c r="P145" i="9"/>
  <c r="J146" i="9"/>
  <c r="M146" i="9"/>
  <c r="O146" i="9"/>
  <c r="P146" i="9"/>
  <c r="J147" i="9"/>
  <c r="M147" i="9"/>
  <c r="O147" i="9"/>
  <c r="P147" i="9"/>
  <c r="J148" i="9"/>
  <c r="M148" i="9"/>
  <c r="O148" i="9"/>
  <c r="P148" i="9"/>
  <c r="J149" i="9"/>
  <c r="M149" i="9"/>
  <c r="O149" i="9"/>
  <c r="P149" i="9"/>
  <c r="J150" i="9"/>
  <c r="M150" i="9"/>
  <c r="O150" i="9"/>
  <c r="P150" i="9"/>
  <c r="J151" i="9"/>
  <c r="M151" i="9"/>
  <c r="O151" i="9"/>
  <c r="P151" i="9"/>
  <c r="J152" i="9"/>
  <c r="M152" i="9"/>
  <c r="O152" i="9"/>
  <c r="P152" i="9"/>
  <c r="J153" i="9"/>
  <c r="M153" i="9"/>
  <c r="O153" i="9"/>
  <c r="P153" i="9"/>
  <c r="J154" i="9"/>
  <c r="M154" i="9"/>
  <c r="O154" i="9"/>
  <c r="P154" i="9"/>
  <c r="I11" i="8"/>
  <c r="K11" i="8"/>
  <c r="I17" i="8"/>
  <c r="L17" i="8"/>
  <c r="N17" i="8"/>
  <c r="I18" i="8"/>
  <c r="L18" i="8"/>
  <c r="N18" i="8"/>
  <c r="O18" i="8" s="1"/>
  <c r="I19" i="8"/>
  <c r="L19" i="8"/>
  <c r="N19" i="8"/>
  <c r="O19" i="8" s="1"/>
  <c r="I20" i="8"/>
  <c r="L20" i="8"/>
  <c r="N20" i="8"/>
  <c r="O20" i="8" s="1"/>
  <c r="L21" i="8"/>
  <c r="N21" i="8"/>
  <c r="O21" i="8" s="1"/>
  <c r="L29" i="8"/>
  <c r="N29" i="8"/>
  <c r="L30" i="8"/>
  <c r="N30" i="8"/>
  <c r="L31" i="8"/>
  <c r="N31" i="8"/>
  <c r="L32" i="8"/>
  <c r="N32" i="8"/>
  <c r="L33" i="8"/>
  <c r="N33" i="8"/>
  <c r="L34" i="8"/>
  <c r="N34" i="8"/>
  <c r="L35" i="8"/>
  <c r="N35" i="8"/>
  <c r="L36" i="8"/>
  <c r="N36" i="8"/>
  <c r="L37" i="8"/>
  <c r="N37" i="8"/>
  <c r="L38" i="8"/>
  <c r="N38" i="8"/>
  <c r="O38" i="8" s="1"/>
  <c r="L39" i="8"/>
  <c r="N39" i="8"/>
  <c r="L40" i="8"/>
  <c r="N40" i="8"/>
  <c r="L41" i="8"/>
  <c r="N41" i="8"/>
  <c r="L42" i="8"/>
  <c r="N42" i="8"/>
  <c r="L43" i="8"/>
  <c r="N43" i="8"/>
  <c r="L44" i="8"/>
  <c r="N44" i="8"/>
  <c r="L45" i="8"/>
  <c r="N45" i="8"/>
  <c r="L46" i="8"/>
  <c r="N46" i="8"/>
  <c r="L47" i="8"/>
  <c r="N47" i="8"/>
  <c r="L48" i="8"/>
  <c r="N48" i="8"/>
  <c r="L49" i="8"/>
  <c r="N49" i="8"/>
  <c r="L50" i="8"/>
  <c r="N50" i="8"/>
  <c r="L51" i="8"/>
  <c r="N51" i="8"/>
  <c r="L52" i="8"/>
  <c r="N52" i="8"/>
  <c r="L53" i="8"/>
  <c r="N53" i="8"/>
  <c r="L54" i="8"/>
  <c r="N54" i="8"/>
  <c r="L55" i="8"/>
  <c r="N55" i="8"/>
  <c r="L56" i="8"/>
  <c r="N56" i="8"/>
  <c r="L57" i="8"/>
  <c r="N57" i="8"/>
  <c r="L58" i="8"/>
  <c r="N58" i="8"/>
  <c r="L59" i="8"/>
  <c r="N59" i="8"/>
  <c r="L60" i="8"/>
  <c r="N60" i="8"/>
  <c r="L61" i="8"/>
  <c r="N61" i="8"/>
  <c r="L62" i="8"/>
  <c r="N62" i="8"/>
  <c r="L63" i="8"/>
  <c r="N63" i="8"/>
  <c r="L64" i="8"/>
  <c r="N64" i="8"/>
  <c r="O64" i="8" s="1"/>
  <c r="L65" i="8"/>
  <c r="N65" i="8"/>
  <c r="L66" i="8"/>
  <c r="N66" i="8"/>
  <c r="L67" i="8"/>
  <c r="N67" i="8"/>
  <c r="L68" i="8"/>
  <c r="N68" i="8"/>
  <c r="L69" i="8"/>
  <c r="N69" i="8"/>
  <c r="L70" i="8"/>
  <c r="N70" i="8"/>
  <c r="L71" i="8"/>
  <c r="N71" i="8"/>
  <c r="L72" i="8"/>
  <c r="N72" i="8"/>
  <c r="D89" i="8"/>
  <c r="D91" i="8"/>
  <c r="J93" i="8"/>
  <c r="L93" i="8"/>
  <c r="D96" i="8"/>
  <c r="J99" i="8"/>
  <c r="M99" i="8"/>
  <c r="O99" i="8"/>
  <c r="P99" i="8"/>
  <c r="J100" i="8"/>
  <c r="M100" i="8"/>
  <c r="O100" i="8"/>
  <c r="P100" i="8" s="1"/>
  <c r="J101" i="8"/>
  <c r="M101" i="8"/>
  <c r="O101" i="8"/>
  <c r="P101" i="8"/>
  <c r="O102" i="8"/>
  <c r="P102" i="8"/>
  <c r="M109" i="8"/>
  <c r="O109" i="8"/>
  <c r="M110" i="8"/>
  <c r="O110" i="8"/>
  <c r="M111" i="8"/>
  <c r="O111" i="8"/>
  <c r="M112" i="8"/>
  <c r="O112" i="8"/>
  <c r="M113" i="8"/>
  <c r="O113" i="8"/>
  <c r="M114" i="8"/>
  <c r="O114" i="8"/>
  <c r="M115" i="8"/>
  <c r="O115" i="8"/>
  <c r="M116" i="8"/>
  <c r="O116" i="8"/>
  <c r="M117" i="8"/>
  <c r="O117" i="8"/>
  <c r="M118" i="8"/>
  <c r="O118" i="8"/>
  <c r="M119" i="8"/>
  <c r="O119" i="8"/>
  <c r="M120" i="8"/>
  <c r="O120" i="8"/>
  <c r="M121" i="8"/>
  <c r="O121" i="8"/>
  <c r="M122" i="8"/>
  <c r="O122" i="8"/>
  <c r="M123" i="8"/>
  <c r="O123" i="8"/>
  <c r="M124" i="8"/>
  <c r="O124" i="8"/>
  <c r="M125" i="8"/>
  <c r="P125" i="8" s="1"/>
  <c r="O125" i="8"/>
  <c r="M126" i="8"/>
  <c r="O126" i="8"/>
  <c r="M127" i="8"/>
  <c r="O127" i="8"/>
  <c r="M128" i="8"/>
  <c r="O128" i="8"/>
  <c r="M129" i="8"/>
  <c r="O129" i="8"/>
  <c r="M130" i="8"/>
  <c r="O130" i="8"/>
  <c r="M131" i="8"/>
  <c r="O131" i="8"/>
  <c r="M132" i="8"/>
  <c r="O132" i="8"/>
  <c r="P132" i="8" s="1"/>
  <c r="M133" i="8"/>
  <c r="O133" i="8"/>
  <c r="M134" i="8"/>
  <c r="O134" i="8"/>
  <c r="M135" i="8"/>
  <c r="O135" i="8"/>
  <c r="M136" i="8"/>
  <c r="O136" i="8"/>
  <c r="P136" i="8" s="1"/>
  <c r="M137" i="8"/>
  <c r="O137" i="8"/>
  <c r="M138" i="8"/>
  <c r="O138" i="8"/>
  <c r="P138" i="8" s="1"/>
  <c r="M139" i="8"/>
  <c r="O139" i="8"/>
  <c r="M140" i="8"/>
  <c r="O140" i="8"/>
  <c r="M141" i="8"/>
  <c r="O141" i="8"/>
  <c r="M142" i="8"/>
  <c r="O142" i="8"/>
  <c r="P142" i="8" s="1"/>
  <c r="M143" i="8"/>
  <c r="O143" i="8"/>
  <c r="M144" i="8"/>
  <c r="O144" i="8"/>
  <c r="P144" i="8" s="1"/>
  <c r="M145" i="8"/>
  <c r="O145" i="8"/>
  <c r="M146" i="8"/>
  <c r="O146" i="8"/>
  <c r="P146" i="8" s="1"/>
  <c r="M147" i="8"/>
  <c r="O147" i="8"/>
  <c r="M148" i="8"/>
  <c r="O148" i="8"/>
  <c r="P148" i="8" s="1"/>
  <c r="M149" i="8"/>
  <c r="O149" i="8"/>
  <c r="M150" i="8"/>
  <c r="O150" i="8"/>
  <c r="P150" i="8" s="1"/>
  <c r="M151" i="8"/>
  <c r="O151" i="8"/>
  <c r="M152" i="8"/>
  <c r="O152" i="8"/>
  <c r="M153" i="8"/>
  <c r="O153" i="8"/>
  <c r="M154" i="8"/>
  <c r="O154" i="8"/>
  <c r="P154" i="8" s="1"/>
  <c r="I11" i="7"/>
  <c r="K11" i="7"/>
  <c r="I17" i="7"/>
  <c r="L17" i="7"/>
  <c r="N17" i="7"/>
  <c r="O17" i="7" s="1"/>
  <c r="I18" i="7"/>
  <c r="N18" i="7"/>
  <c r="O18" i="7" s="1"/>
  <c r="I19" i="7"/>
  <c r="L19" i="7"/>
  <c r="N19" i="7"/>
  <c r="O19" i="7" s="1"/>
  <c r="I20" i="7"/>
  <c r="L20" i="7"/>
  <c r="N20" i="7"/>
  <c r="I21" i="7"/>
  <c r="L21" i="7"/>
  <c r="I22" i="7"/>
  <c r="L22" i="7"/>
  <c r="N22" i="7"/>
  <c r="O22" i="7" s="1"/>
  <c r="L23" i="7"/>
  <c r="N23" i="7"/>
  <c r="O23" i="7" s="1"/>
  <c r="L31" i="7"/>
  <c r="N31" i="7"/>
  <c r="L32" i="7"/>
  <c r="N32" i="7"/>
  <c r="L33" i="7"/>
  <c r="N33" i="7"/>
  <c r="L34" i="7"/>
  <c r="N34" i="7"/>
  <c r="L35" i="7"/>
  <c r="N35" i="7"/>
  <c r="L36" i="7"/>
  <c r="N36" i="7"/>
  <c r="L37" i="7"/>
  <c r="N37" i="7"/>
  <c r="L38" i="7"/>
  <c r="N38" i="7"/>
  <c r="L39" i="7"/>
  <c r="N39" i="7"/>
  <c r="L40" i="7"/>
  <c r="N40" i="7"/>
  <c r="L41" i="7"/>
  <c r="N41" i="7"/>
  <c r="L42" i="7"/>
  <c r="N42" i="7"/>
  <c r="L43" i="7"/>
  <c r="N43" i="7"/>
  <c r="O43" i="7" s="1"/>
  <c r="L44" i="7"/>
  <c r="N44" i="7"/>
  <c r="L45" i="7"/>
  <c r="N45" i="7"/>
  <c r="L46" i="7"/>
  <c r="N46" i="7"/>
  <c r="L47" i="7"/>
  <c r="N47" i="7"/>
  <c r="L48" i="7"/>
  <c r="N48" i="7"/>
  <c r="L49" i="7"/>
  <c r="N49" i="7"/>
  <c r="L50" i="7"/>
  <c r="N50" i="7"/>
  <c r="L51" i="7"/>
  <c r="N51" i="7"/>
  <c r="L52" i="7"/>
  <c r="N52" i="7"/>
  <c r="L53" i="7"/>
  <c r="N53" i="7"/>
  <c r="L54" i="7"/>
  <c r="N54" i="7"/>
  <c r="L55" i="7"/>
  <c r="N55" i="7"/>
  <c r="L56" i="7"/>
  <c r="N56" i="7"/>
  <c r="L57" i="7"/>
  <c r="N57" i="7"/>
  <c r="L58" i="7"/>
  <c r="N58" i="7"/>
  <c r="L59" i="7"/>
  <c r="N59" i="7"/>
  <c r="L60" i="7"/>
  <c r="N60" i="7"/>
  <c r="L61" i="7"/>
  <c r="N61" i="7"/>
  <c r="L62" i="7"/>
  <c r="N62" i="7"/>
  <c r="L63" i="7"/>
  <c r="N63" i="7"/>
  <c r="L64" i="7"/>
  <c r="N64" i="7"/>
  <c r="L65" i="7"/>
  <c r="N65" i="7"/>
  <c r="L66" i="7"/>
  <c r="N66" i="7"/>
  <c r="L67" i="7"/>
  <c r="N67" i="7"/>
  <c r="L68" i="7"/>
  <c r="N68" i="7"/>
  <c r="L69" i="7"/>
  <c r="N69" i="7"/>
  <c r="L70" i="7"/>
  <c r="N70" i="7"/>
  <c r="L71" i="7"/>
  <c r="N71" i="7"/>
  <c r="L72" i="7"/>
  <c r="N72" i="7"/>
  <c r="D89" i="7"/>
  <c r="D91" i="7"/>
  <c r="J93" i="7"/>
  <c r="L93" i="7"/>
  <c r="D96" i="7"/>
  <c r="J99" i="7"/>
  <c r="M99" i="7"/>
  <c r="P99" i="7" s="1"/>
  <c r="O99" i="7"/>
  <c r="J100" i="7"/>
  <c r="M100" i="7"/>
  <c r="P100" i="7"/>
  <c r="O100" i="7"/>
  <c r="J101" i="7"/>
  <c r="O101" i="7"/>
  <c r="P101" i="7" s="1"/>
  <c r="J102" i="7"/>
  <c r="O102" i="7"/>
  <c r="J103" i="7"/>
  <c r="M103" i="7"/>
  <c r="O103" i="7"/>
  <c r="P103" i="7"/>
  <c r="M104" i="7"/>
  <c r="O104" i="7"/>
  <c r="P104" i="7" s="1"/>
  <c r="M111" i="7"/>
  <c r="O111" i="7"/>
  <c r="M112" i="7"/>
  <c r="O112" i="7"/>
  <c r="M113" i="7"/>
  <c r="O113" i="7"/>
  <c r="M114" i="7"/>
  <c r="O114" i="7"/>
  <c r="M115" i="7"/>
  <c r="O115" i="7"/>
  <c r="M116" i="7"/>
  <c r="P116" i="7" s="1"/>
  <c r="O116" i="7"/>
  <c r="M117" i="7"/>
  <c r="O117" i="7"/>
  <c r="M118" i="7"/>
  <c r="O118" i="7"/>
  <c r="M119" i="7"/>
  <c r="O119" i="7"/>
  <c r="M120" i="7"/>
  <c r="O120" i="7"/>
  <c r="M121" i="7"/>
  <c r="O121" i="7"/>
  <c r="M122" i="7"/>
  <c r="P122" i="7" s="1"/>
  <c r="O122" i="7"/>
  <c r="M123" i="7"/>
  <c r="O123" i="7"/>
  <c r="M124" i="7"/>
  <c r="P124" i="7" s="1"/>
  <c r="O124" i="7"/>
  <c r="M125" i="7"/>
  <c r="O125" i="7"/>
  <c r="M126" i="7"/>
  <c r="O126" i="7"/>
  <c r="M127" i="7"/>
  <c r="O127" i="7"/>
  <c r="M128" i="7"/>
  <c r="O128" i="7"/>
  <c r="M129" i="7"/>
  <c r="O129" i="7"/>
  <c r="M130" i="7"/>
  <c r="O130" i="7"/>
  <c r="M131" i="7"/>
  <c r="O131" i="7"/>
  <c r="M132" i="7"/>
  <c r="O132" i="7"/>
  <c r="M133" i="7"/>
  <c r="O133" i="7"/>
  <c r="M134" i="7"/>
  <c r="P134" i="7" s="1"/>
  <c r="O134" i="7"/>
  <c r="M135" i="7"/>
  <c r="O135" i="7"/>
  <c r="M136" i="7"/>
  <c r="O136" i="7"/>
  <c r="M137" i="7"/>
  <c r="O137" i="7"/>
  <c r="M138" i="7"/>
  <c r="P138" i="7" s="1"/>
  <c r="O138" i="7"/>
  <c r="M139" i="7"/>
  <c r="O139" i="7"/>
  <c r="M140" i="7"/>
  <c r="O140" i="7"/>
  <c r="M141" i="7"/>
  <c r="O141" i="7"/>
  <c r="M142" i="7"/>
  <c r="O142" i="7"/>
  <c r="M143" i="7"/>
  <c r="O143" i="7"/>
  <c r="M144" i="7"/>
  <c r="O144" i="7"/>
  <c r="M145" i="7"/>
  <c r="O145" i="7"/>
  <c r="M146" i="7"/>
  <c r="O146" i="7"/>
  <c r="M147" i="7"/>
  <c r="O147" i="7"/>
  <c r="M148" i="7"/>
  <c r="O148" i="7"/>
  <c r="M149" i="7"/>
  <c r="O149" i="7"/>
  <c r="M150" i="7"/>
  <c r="O150" i="7"/>
  <c r="M151" i="7"/>
  <c r="O151" i="7"/>
  <c r="M152" i="7"/>
  <c r="O152" i="7"/>
  <c r="M153" i="7"/>
  <c r="O153" i="7"/>
  <c r="M154" i="7"/>
  <c r="O154" i="7"/>
  <c r="K11" i="6"/>
  <c r="I17" i="6"/>
  <c r="L17" i="6"/>
  <c r="N17" i="6"/>
  <c r="O17" i="6" s="1"/>
  <c r="I18" i="6"/>
  <c r="L18" i="6"/>
  <c r="N18" i="6"/>
  <c r="O18" i="6" s="1"/>
  <c r="L19" i="6"/>
  <c r="N19" i="6"/>
  <c r="N20" i="6"/>
  <c r="L21" i="6"/>
  <c r="N21" i="6"/>
  <c r="L29" i="6"/>
  <c r="N29" i="6"/>
  <c r="L30" i="6"/>
  <c r="N30" i="6"/>
  <c r="L31" i="6"/>
  <c r="N31" i="6"/>
  <c r="L32" i="6"/>
  <c r="N32" i="6"/>
  <c r="L33" i="6"/>
  <c r="N33" i="6"/>
  <c r="L34" i="6"/>
  <c r="N34" i="6"/>
  <c r="L35" i="6"/>
  <c r="N35" i="6"/>
  <c r="L36" i="6"/>
  <c r="N36" i="6"/>
  <c r="L37" i="6"/>
  <c r="N37" i="6"/>
  <c r="L38" i="6"/>
  <c r="N38" i="6"/>
  <c r="L39" i="6"/>
  <c r="N39" i="6"/>
  <c r="L40" i="6"/>
  <c r="N40" i="6"/>
  <c r="L41" i="6"/>
  <c r="N41" i="6"/>
  <c r="L42" i="6"/>
  <c r="N42" i="6"/>
  <c r="L43" i="6"/>
  <c r="N43" i="6"/>
  <c r="L44" i="6"/>
  <c r="N44" i="6"/>
  <c r="C53" i="6"/>
  <c r="C54" i="6" s="1"/>
  <c r="C55" i="6" s="1"/>
  <c r="C56" i="6" s="1"/>
  <c r="C57" i="6" s="1"/>
  <c r="C58" i="6" s="1"/>
  <c r="C59" i="6" s="1"/>
  <c r="C60" i="6" s="1"/>
  <c r="C61" i="6" s="1"/>
  <c r="C62" i="6" s="1"/>
  <c r="C63" i="6" s="1"/>
  <c r="C64" i="6" s="1"/>
  <c r="C65" i="6" s="1"/>
  <c r="C66" i="6" s="1"/>
  <c r="C67" i="6" s="1"/>
  <c r="C68" i="6" s="1"/>
  <c r="C69" i="6" s="1"/>
  <c r="C70" i="6" s="1"/>
  <c r="C71" i="6" s="1"/>
  <c r="C72" i="6" s="1"/>
  <c r="L45" i="6"/>
  <c r="N45" i="6"/>
  <c r="O45" i="6" s="1"/>
  <c r="L46" i="6"/>
  <c r="N46" i="6"/>
  <c r="L47" i="6"/>
  <c r="N47" i="6"/>
  <c r="O47" i="6" s="1"/>
  <c r="L48" i="6"/>
  <c r="N48" i="6"/>
  <c r="L49" i="6"/>
  <c r="N49" i="6"/>
  <c r="O49" i="6" s="1"/>
  <c r="L50" i="6"/>
  <c r="N50" i="6"/>
  <c r="L51" i="6"/>
  <c r="N51" i="6"/>
  <c r="L52" i="6"/>
  <c r="N52" i="6"/>
  <c r="L53" i="6"/>
  <c r="N53" i="6"/>
  <c r="L54" i="6"/>
  <c r="N54" i="6"/>
  <c r="L55" i="6"/>
  <c r="N55" i="6"/>
  <c r="L56" i="6"/>
  <c r="N56" i="6"/>
  <c r="L57" i="6"/>
  <c r="N57" i="6"/>
  <c r="L58" i="6"/>
  <c r="N58" i="6"/>
  <c r="L59" i="6"/>
  <c r="N59" i="6"/>
  <c r="L60" i="6"/>
  <c r="N60" i="6"/>
  <c r="L61" i="6"/>
  <c r="N61" i="6"/>
  <c r="L62" i="6"/>
  <c r="N62" i="6"/>
  <c r="L63" i="6"/>
  <c r="N63" i="6"/>
  <c r="L64" i="6"/>
  <c r="N64" i="6"/>
  <c r="L65" i="6"/>
  <c r="N65" i="6"/>
  <c r="L66" i="6"/>
  <c r="N66" i="6"/>
  <c r="L67" i="6"/>
  <c r="N67" i="6"/>
  <c r="L68" i="6"/>
  <c r="N68" i="6"/>
  <c r="L69" i="6"/>
  <c r="N69" i="6"/>
  <c r="L70" i="6"/>
  <c r="N70" i="6"/>
  <c r="L71" i="6"/>
  <c r="N71" i="6"/>
  <c r="L72" i="6"/>
  <c r="N72" i="6"/>
  <c r="D89" i="6"/>
  <c r="D91" i="6"/>
  <c r="J93" i="6"/>
  <c r="L93" i="6"/>
  <c r="D96" i="6"/>
  <c r="J99" i="6"/>
  <c r="M99" i="6"/>
  <c r="J100" i="6"/>
  <c r="M100" i="6"/>
  <c r="O100" i="6"/>
  <c r="P100" i="6" s="1"/>
  <c r="J101" i="6"/>
  <c r="M101" i="6"/>
  <c r="P101" i="6" s="1"/>
  <c r="O101" i="6"/>
  <c r="M102" i="6"/>
  <c r="O102" i="6"/>
  <c r="P102" i="6"/>
  <c r="M109" i="6"/>
  <c r="O109" i="6"/>
  <c r="M110" i="6"/>
  <c r="O110" i="6"/>
  <c r="M111" i="6"/>
  <c r="O111" i="6"/>
  <c r="P111" i="6" s="1"/>
  <c r="M112" i="6"/>
  <c r="O112" i="6"/>
  <c r="M113" i="6"/>
  <c r="O113" i="6"/>
  <c r="M114" i="6"/>
  <c r="O114" i="6"/>
  <c r="M115" i="6"/>
  <c r="O115" i="6"/>
  <c r="P115" i="6" s="1"/>
  <c r="M116" i="6"/>
  <c r="O116" i="6"/>
  <c r="M117" i="6"/>
  <c r="O117" i="6"/>
  <c r="M118" i="6"/>
  <c r="O118" i="6"/>
  <c r="M119" i="6"/>
  <c r="O119" i="6"/>
  <c r="P119" i="6" s="1"/>
  <c r="M120" i="6"/>
  <c r="O120" i="6"/>
  <c r="M121" i="6"/>
  <c r="O121" i="6"/>
  <c r="P121" i="6" s="1"/>
  <c r="M122" i="6"/>
  <c r="O122" i="6"/>
  <c r="M123" i="6"/>
  <c r="O123" i="6"/>
  <c r="P123" i="6" s="1"/>
  <c r="M124" i="6"/>
  <c r="O124" i="6"/>
  <c r="M125" i="6"/>
  <c r="O125" i="6"/>
  <c r="M126" i="6"/>
  <c r="O126" i="6"/>
  <c r="M127" i="6"/>
  <c r="O127" i="6"/>
  <c r="P127" i="6" s="1"/>
  <c r="M128" i="6"/>
  <c r="O128" i="6"/>
  <c r="M129" i="6"/>
  <c r="O129" i="6"/>
  <c r="P129" i="6" s="1"/>
  <c r="M130" i="6"/>
  <c r="O130" i="6"/>
  <c r="M131" i="6"/>
  <c r="O131" i="6"/>
  <c r="M132" i="6"/>
  <c r="O132" i="6"/>
  <c r="M133" i="6"/>
  <c r="O133" i="6"/>
  <c r="P133" i="6" s="1"/>
  <c r="M134" i="6"/>
  <c r="O134" i="6"/>
  <c r="M135" i="6"/>
  <c r="O135" i="6"/>
  <c r="P135" i="6" s="1"/>
  <c r="M136" i="6"/>
  <c r="O136" i="6"/>
  <c r="M137" i="6"/>
  <c r="O137" i="6"/>
  <c r="P137" i="6" s="1"/>
  <c r="M138" i="6"/>
  <c r="O138" i="6"/>
  <c r="M139" i="6"/>
  <c r="O139" i="6"/>
  <c r="M140" i="6"/>
  <c r="O140" i="6"/>
  <c r="M141" i="6"/>
  <c r="O141" i="6"/>
  <c r="P141" i="6" s="1"/>
  <c r="M142" i="6"/>
  <c r="O142" i="6"/>
  <c r="M143" i="6"/>
  <c r="O143" i="6"/>
  <c r="P143" i="6" s="1"/>
  <c r="M144" i="6"/>
  <c r="O144" i="6"/>
  <c r="M145" i="6"/>
  <c r="O145" i="6"/>
  <c r="P145" i="6" s="1"/>
  <c r="M146" i="6"/>
  <c r="O146" i="6"/>
  <c r="M147" i="6"/>
  <c r="O147" i="6"/>
  <c r="M148" i="6"/>
  <c r="O148" i="6"/>
  <c r="M149" i="6"/>
  <c r="O149" i="6"/>
  <c r="P149" i="6" s="1"/>
  <c r="M150" i="6"/>
  <c r="O150" i="6"/>
  <c r="M151" i="6"/>
  <c r="O151" i="6"/>
  <c r="P151" i="6" s="1"/>
  <c r="M152" i="6"/>
  <c r="O152" i="6"/>
  <c r="M153" i="6"/>
  <c r="O153" i="6"/>
  <c r="P153" i="6" s="1"/>
  <c r="M154" i="6"/>
  <c r="O154" i="6"/>
  <c r="K11" i="5"/>
  <c r="L17" i="5"/>
  <c r="N17" i="5"/>
  <c r="L18" i="5"/>
  <c r="N18" i="5"/>
  <c r="O18" i="5" s="1"/>
  <c r="L19" i="5"/>
  <c r="N19" i="5"/>
  <c r="O19" i="5" s="1"/>
  <c r="L20" i="5"/>
  <c r="N20" i="5"/>
  <c r="L28" i="5"/>
  <c r="N28" i="5"/>
  <c r="O28" i="5" s="1"/>
  <c r="L29" i="5"/>
  <c r="N29" i="5"/>
  <c r="L30" i="5"/>
  <c r="N30" i="5"/>
  <c r="O30" i="5" s="1"/>
  <c r="L31" i="5"/>
  <c r="N31" i="5"/>
  <c r="L32" i="5"/>
  <c r="N32" i="5"/>
  <c r="O32" i="5" s="1"/>
  <c r="L33" i="5"/>
  <c r="N33" i="5"/>
  <c r="L34" i="5"/>
  <c r="N34" i="5"/>
  <c r="L35" i="5"/>
  <c r="N35" i="5"/>
  <c r="L36" i="5"/>
  <c r="N36" i="5"/>
  <c r="L37" i="5"/>
  <c r="N37" i="5"/>
  <c r="L38" i="5"/>
  <c r="N38" i="5"/>
  <c r="L39" i="5"/>
  <c r="N39" i="5"/>
  <c r="L40" i="5"/>
  <c r="N40" i="5"/>
  <c r="L41" i="5"/>
  <c r="N41" i="5"/>
  <c r="L42" i="5"/>
  <c r="N42" i="5"/>
  <c r="L43" i="5"/>
  <c r="N43" i="5"/>
  <c r="L44" i="5"/>
  <c r="N44" i="5"/>
  <c r="O44" i="5" s="1"/>
  <c r="L45" i="5"/>
  <c r="N45" i="5"/>
  <c r="L46" i="5"/>
  <c r="N46" i="5"/>
  <c r="L47" i="5"/>
  <c r="N47" i="5"/>
  <c r="L48" i="5"/>
  <c r="N48" i="5"/>
  <c r="O48" i="5" s="1"/>
  <c r="I49" i="5"/>
  <c r="L49" i="5"/>
  <c r="N49" i="5"/>
  <c r="O49" i="5"/>
  <c r="I50" i="5"/>
  <c r="L50" i="5"/>
  <c r="N50" i="5"/>
  <c r="O50" i="5"/>
  <c r="I51" i="5"/>
  <c r="L51" i="5"/>
  <c r="N51" i="5"/>
  <c r="O51" i="5"/>
  <c r="I52" i="5"/>
  <c r="L52" i="5"/>
  <c r="N52" i="5"/>
  <c r="O52" i="5"/>
  <c r="I53" i="5"/>
  <c r="L53" i="5"/>
  <c r="N53" i="5"/>
  <c r="O53" i="5"/>
  <c r="I54" i="5"/>
  <c r="L54" i="5"/>
  <c r="N54" i="5"/>
  <c r="O54" i="5"/>
  <c r="I55" i="5"/>
  <c r="L55" i="5"/>
  <c r="N55" i="5"/>
  <c r="O55" i="5"/>
  <c r="I56" i="5"/>
  <c r="L56" i="5"/>
  <c r="N56" i="5"/>
  <c r="O56" i="5"/>
  <c r="I57" i="5"/>
  <c r="L57" i="5"/>
  <c r="N57" i="5"/>
  <c r="O57" i="5"/>
  <c r="I58" i="5"/>
  <c r="L58" i="5"/>
  <c r="N58" i="5"/>
  <c r="O58" i="5"/>
  <c r="I59" i="5"/>
  <c r="L59" i="5"/>
  <c r="N59" i="5"/>
  <c r="O59" i="5"/>
  <c r="I60" i="5"/>
  <c r="L60" i="5"/>
  <c r="N60" i="5"/>
  <c r="O60" i="5"/>
  <c r="I61" i="5"/>
  <c r="L61" i="5"/>
  <c r="N61" i="5"/>
  <c r="O61" i="5"/>
  <c r="I62" i="5"/>
  <c r="L62" i="5"/>
  <c r="N62" i="5"/>
  <c r="O62" i="5"/>
  <c r="I63" i="5"/>
  <c r="L63" i="5"/>
  <c r="N63" i="5"/>
  <c r="O63" i="5"/>
  <c r="I64" i="5"/>
  <c r="L64" i="5"/>
  <c r="N64" i="5"/>
  <c r="O64" i="5"/>
  <c r="I65" i="5"/>
  <c r="L65" i="5"/>
  <c r="N65" i="5"/>
  <c r="O65" i="5"/>
  <c r="I66" i="5"/>
  <c r="L66" i="5"/>
  <c r="N66" i="5"/>
  <c r="O66" i="5"/>
  <c r="I67" i="5"/>
  <c r="L67" i="5"/>
  <c r="N67" i="5"/>
  <c r="O67" i="5"/>
  <c r="I68" i="5"/>
  <c r="L68" i="5"/>
  <c r="N68" i="5"/>
  <c r="O68" i="5"/>
  <c r="I69" i="5"/>
  <c r="L69" i="5"/>
  <c r="N69" i="5"/>
  <c r="O69" i="5"/>
  <c r="I70" i="5"/>
  <c r="L70" i="5"/>
  <c r="N70" i="5"/>
  <c r="O70" i="5"/>
  <c r="I71" i="5"/>
  <c r="L71" i="5"/>
  <c r="N71" i="5"/>
  <c r="O71" i="5"/>
  <c r="I72" i="5"/>
  <c r="L72" i="5"/>
  <c r="N72" i="5"/>
  <c r="O72" i="5"/>
  <c r="D89" i="5"/>
  <c r="D91" i="5"/>
  <c r="J93" i="5"/>
  <c r="L93" i="5"/>
  <c r="D96" i="5"/>
  <c r="J99" i="5"/>
  <c r="M99" i="5"/>
  <c r="P99" i="5" s="1"/>
  <c r="O99" i="5"/>
  <c r="J100" i="5"/>
  <c r="O100" i="5"/>
  <c r="P100" i="5" s="1"/>
  <c r="M101" i="5"/>
  <c r="O101" i="5"/>
  <c r="P101" i="5"/>
  <c r="M108" i="5"/>
  <c r="O108" i="5"/>
  <c r="M109" i="5"/>
  <c r="O109" i="5"/>
  <c r="M110" i="5"/>
  <c r="O110" i="5"/>
  <c r="P110" i="5" s="1"/>
  <c r="M111" i="5"/>
  <c r="O111" i="5"/>
  <c r="M112" i="5"/>
  <c r="O112" i="5"/>
  <c r="P112" i="5" s="1"/>
  <c r="M113" i="5"/>
  <c r="O113" i="5"/>
  <c r="M114" i="5"/>
  <c r="O114" i="5"/>
  <c r="M115" i="5"/>
  <c r="O115" i="5"/>
  <c r="M116" i="5"/>
  <c r="O116" i="5"/>
  <c r="P116" i="5" s="1"/>
  <c r="M117" i="5"/>
  <c r="O117" i="5"/>
  <c r="M118" i="5"/>
  <c r="O118" i="5"/>
  <c r="P118" i="5" s="1"/>
  <c r="M119" i="5"/>
  <c r="O119" i="5"/>
  <c r="M120" i="5"/>
  <c r="O120" i="5"/>
  <c r="P120" i="5" s="1"/>
  <c r="M121" i="5"/>
  <c r="O121" i="5"/>
  <c r="M122" i="5"/>
  <c r="O122" i="5"/>
  <c r="P122" i="5" s="1"/>
  <c r="M123" i="5"/>
  <c r="O123" i="5"/>
  <c r="M124" i="5"/>
  <c r="O124" i="5"/>
  <c r="P124" i="5" s="1"/>
  <c r="M125" i="5"/>
  <c r="O125" i="5"/>
  <c r="M126" i="5"/>
  <c r="O126" i="5"/>
  <c r="M127" i="5"/>
  <c r="O127" i="5"/>
  <c r="M128" i="5"/>
  <c r="O128" i="5"/>
  <c r="M129" i="5"/>
  <c r="O129" i="5"/>
  <c r="M130" i="5"/>
  <c r="O130" i="5"/>
  <c r="M131" i="5"/>
  <c r="O131" i="5"/>
  <c r="M132" i="5"/>
  <c r="O132" i="5"/>
  <c r="P132" i="5" s="1"/>
  <c r="M133" i="5"/>
  <c r="O133" i="5"/>
  <c r="M134" i="5"/>
  <c r="O134" i="5"/>
  <c r="P134" i="5" s="1"/>
  <c r="M135" i="5"/>
  <c r="O135" i="5"/>
  <c r="M136" i="5"/>
  <c r="O136" i="5"/>
  <c r="M137" i="5"/>
  <c r="O137" i="5"/>
  <c r="M138" i="5"/>
  <c r="O138" i="5"/>
  <c r="P138" i="5" s="1"/>
  <c r="M139" i="5"/>
  <c r="O139" i="5"/>
  <c r="M140" i="5"/>
  <c r="O140" i="5"/>
  <c r="M141" i="5"/>
  <c r="P141" i="5" s="1"/>
  <c r="O141" i="5"/>
  <c r="M142" i="5"/>
  <c r="O142" i="5"/>
  <c r="M143" i="5"/>
  <c r="O143" i="5"/>
  <c r="M144" i="5"/>
  <c r="O144" i="5"/>
  <c r="M145" i="5"/>
  <c r="O145" i="5"/>
  <c r="M146" i="5"/>
  <c r="O146" i="5"/>
  <c r="M147" i="5"/>
  <c r="O147" i="5"/>
  <c r="M148" i="5"/>
  <c r="O148" i="5"/>
  <c r="M149" i="5"/>
  <c r="P149" i="5" s="1"/>
  <c r="O149" i="5"/>
  <c r="M150" i="5"/>
  <c r="O150" i="5"/>
  <c r="P150" i="5" s="1"/>
  <c r="M151" i="5"/>
  <c r="O151" i="5"/>
  <c r="M152" i="5"/>
  <c r="O152" i="5"/>
  <c r="P152" i="5" s="1"/>
  <c r="M153" i="5"/>
  <c r="O153" i="5"/>
  <c r="M154" i="5"/>
  <c r="O154" i="5"/>
  <c r="K11" i="4"/>
  <c r="I17" i="4"/>
  <c r="L17" i="4"/>
  <c r="N17" i="4"/>
  <c r="O17" i="4" s="1"/>
  <c r="I18" i="4"/>
  <c r="L18" i="4"/>
  <c r="N18" i="4"/>
  <c r="O18" i="4"/>
  <c r="I19" i="4"/>
  <c r="N19" i="4"/>
  <c r="L20" i="4"/>
  <c r="N20" i="4"/>
  <c r="O20" i="4" s="1"/>
  <c r="L28" i="4"/>
  <c r="N28" i="4"/>
  <c r="L29" i="4"/>
  <c r="N29" i="4"/>
  <c r="L30" i="4"/>
  <c r="N30" i="4"/>
  <c r="L31" i="4"/>
  <c r="N31" i="4"/>
  <c r="L32" i="4"/>
  <c r="N32" i="4"/>
  <c r="L33" i="4"/>
  <c r="N33" i="4"/>
  <c r="L34" i="4"/>
  <c r="N34" i="4"/>
  <c r="L35" i="4"/>
  <c r="N35" i="4"/>
  <c r="L36" i="4"/>
  <c r="N36" i="4"/>
  <c r="L37" i="4"/>
  <c r="N37" i="4"/>
  <c r="L38" i="4"/>
  <c r="N38" i="4"/>
  <c r="L39" i="4"/>
  <c r="N39" i="4"/>
  <c r="L40" i="4"/>
  <c r="N40" i="4"/>
  <c r="L41" i="4"/>
  <c r="N41" i="4"/>
  <c r="L42" i="4"/>
  <c r="N42" i="4"/>
  <c r="L43" i="4"/>
  <c r="N43" i="4"/>
  <c r="L44" i="4"/>
  <c r="N44" i="4"/>
  <c r="L45" i="4"/>
  <c r="N45" i="4"/>
  <c r="L46" i="4"/>
  <c r="N46" i="4"/>
  <c r="L47" i="4"/>
  <c r="N47" i="4"/>
  <c r="L48" i="4"/>
  <c r="N48" i="4"/>
  <c r="L49" i="4"/>
  <c r="N49" i="4"/>
  <c r="L50" i="4"/>
  <c r="N50" i="4"/>
  <c r="L51" i="4"/>
  <c r="N51" i="4"/>
  <c r="L52" i="4"/>
  <c r="N52" i="4"/>
  <c r="L53" i="4"/>
  <c r="N53" i="4"/>
  <c r="L54" i="4"/>
  <c r="N54" i="4"/>
  <c r="L55" i="4"/>
  <c r="N55" i="4"/>
  <c r="L56" i="4"/>
  <c r="N56" i="4"/>
  <c r="L57" i="4"/>
  <c r="N57" i="4"/>
  <c r="L58" i="4"/>
  <c r="N58" i="4"/>
  <c r="L59" i="4"/>
  <c r="N59" i="4"/>
  <c r="L60" i="4"/>
  <c r="N60" i="4"/>
  <c r="L61" i="4"/>
  <c r="N61" i="4"/>
  <c r="L62" i="4"/>
  <c r="N62" i="4"/>
  <c r="L63" i="4"/>
  <c r="N63" i="4"/>
  <c r="L64" i="4"/>
  <c r="N64" i="4"/>
  <c r="L65" i="4"/>
  <c r="N65" i="4"/>
  <c r="L66" i="4"/>
  <c r="N66" i="4"/>
  <c r="L67" i="4"/>
  <c r="N67" i="4"/>
  <c r="L68" i="4"/>
  <c r="N68" i="4"/>
  <c r="L69" i="4"/>
  <c r="N69" i="4"/>
  <c r="L70" i="4"/>
  <c r="N70" i="4"/>
  <c r="L71" i="4"/>
  <c r="N71" i="4"/>
  <c r="L72" i="4"/>
  <c r="N72" i="4"/>
  <c r="D89" i="4"/>
  <c r="D91" i="4"/>
  <c r="J93" i="4"/>
  <c r="L93" i="4"/>
  <c r="D96" i="4"/>
  <c r="J99" i="4"/>
  <c r="M99" i="4"/>
  <c r="O99" i="4"/>
  <c r="P99" i="4" s="1"/>
  <c r="J100" i="4"/>
  <c r="M100" i="4"/>
  <c r="O100" i="4"/>
  <c r="M101" i="4"/>
  <c r="O101" i="4"/>
  <c r="P101" i="4" s="1"/>
  <c r="O105" i="4"/>
  <c r="P105" i="4"/>
  <c r="M108" i="4"/>
  <c r="O108" i="4"/>
  <c r="M109" i="4"/>
  <c r="O109" i="4"/>
  <c r="M110" i="4"/>
  <c r="O110" i="4"/>
  <c r="M111" i="4"/>
  <c r="O111" i="4"/>
  <c r="M112" i="4"/>
  <c r="O112" i="4"/>
  <c r="M113" i="4"/>
  <c r="O113" i="4"/>
  <c r="M114" i="4"/>
  <c r="O114" i="4"/>
  <c r="M115" i="4"/>
  <c r="O115" i="4"/>
  <c r="M116" i="4"/>
  <c r="O116" i="4"/>
  <c r="M117" i="4"/>
  <c r="P117" i="4" s="1"/>
  <c r="O117" i="4"/>
  <c r="M118" i="4"/>
  <c r="O118" i="4"/>
  <c r="M119" i="4"/>
  <c r="O119" i="4"/>
  <c r="M120" i="4"/>
  <c r="O120" i="4"/>
  <c r="M121" i="4"/>
  <c r="P121" i="4" s="1"/>
  <c r="O121" i="4"/>
  <c r="M122" i="4"/>
  <c r="O122" i="4"/>
  <c r="M123" i="4"/>
  <c r="P123" i="4" s="1"/>
  <c r="O123" i="4"/>
  <c r="M124" i="4"/>
  <c r="O124" i="4"/>
  <c r="M125" i="4"/>
  <c r="P125" i="4" s="1"/>
  <c r="O125" i="4"/>
  <c r="M126" i="4"/>
  <c r="O126" i="4"/>
  <c r="M127" i="4"/>
  <c r="P127" i="4" s="1"/>
  <c r="O127" i="4"/>
  <c r="M128" i="4"/>
  <c r="O128" i="4"/>
  <c r="M129" i="4"/>
  <c r="O129" i="4"/>
  <c r="M130" i="4"/>
  <c r="P130" i="4" s="1"/>
  <c r="O130" i="4"/>
  <c r="M131" i="4"/>
  <c r="P131" i="4" s="1"/>
  <c r="O131" i="4"/>
  <c r="M132" i="4"/>
  <c r="O132" i="4"/>
  <c r="M133" i="4"/>
  <c r="O133" i="4"/>
  <c r="M134" i="4"/>
  <c r="O134" i="4"/>
  <c r="M135" i="4"/>
  <c r="O135" i="4"/>
  <c r="M136" i="4"/>
  <c r="P136" i="4" s="1"/>
  <c r="O136" i="4"/>
  <c r="M137" i="4"/>
  <c r="O137" i="4"/>
  <c r="M138" i="4"/>
  <c r="O138" i="4"/>
  <c r="M139" i="4"/>
  <c r="O139" i="4"/>
  <c r="M140" i="4"/>
  <c r="O140" i="4"/>
  <c r="M141" i="4"/>
  <c r="O141" i="4"/>
  <c r="M142" i="4"/>
  <c r="O142" i="4"/>
  <c r="M143" i="4"/>
  <c r="O143" i="4"/>
  <c r="M144" i="4"/>
  <c r="O144" i="4"/>
  <c r="M145" i="4"/>
  <c r="O145" i="4"/>
  <c r="M146" i="4"/>
  <c r="O146" i="4"/>
  <c r="M147" i="4"/>
  <c r="O147" i="4"/>
  <c r="M148" i="4"/>
  <c r="O148" i="4"/>
  <c r="M149" i="4"/>
  <c r="P149" i="4" s="1"/>
  <c r="O149" i="4"/>
  <c r="M150" i="4"/>
  <c r="O150" i="4"/>
  <c r="M151" i="4"/>
  <c r="O151" i="4"/>
  <c r="M152" i="4"/>
  <c r="O152" i="4"/>
  <c r="M153" i="4"/>
  <c r="O153" i="4"/>
  <c r="M154" i="4"/>
  <c r="P154" i="4" s="1"/>
  <c r="O154" i="4"/>
  <c r="K11" i="3"/>
  <c r="I17" i="3"/>
  <c r="L17" i="3"/>
  <c r="N17" i="3"/>
  <c r="O17" i="3" s="1"/>
  <c r="L18" i="3"/>
  <c r="N18" i="3"/>
  <c r="L19" i="3"/>
  <c r="N19" i="3"/>
  <c r="O19" i="3" s="1"/>
  <c r="L20" i="3"/>
  <c r="N20" i="3"/>
  <c r="L28" i="3"/>
  <c r="N28" i="3"/>
  <c r="L29" i="3"/>
  <c r="N29" i="3"/>
  <c r="L30" i="3"/>
  <c r="N30" i="3"/>
  <c r="L31" i="3"/>
  <c r="N31" i="3"/>
  <c r="L32" i="3"/>
  <c r="N32" i="3"/>
  <c r="L33" i="3"/>
  <c r="N33" i="3"/>
  <c r="L34" i="3"/>
  <c r="N34" i="3"/>
  <c r="L35" i="3"/>
  <c r="N35" i="3"/>
  <c r="L36" i="3"/>
  <c r="N36" i="3"/>
  <c r="L37" i="3"/>
  <c r="N37" i="3"/>
  <c r="L38" i="3"/>
  <c r="N38" i="3"/>
  <c r="L39" i="3"/>
  <c r="N39" i="3"/>
  <c r="L40" i="3"/>
  <c r="N40" i="3"/>
  <c r="L41" i="3"/>
  <c r="N41" i="3"/>
  <c r="L42" i="3"/>
  <c r="N42" i="3"/>
  <c r="L43" i="3"/>
  <c r="N43" i="3"/>
  <c r="L44" i="3"/>
  <c r="N44" i="3"/>
  <c r="L45" i="3"/>
  <c r="N45" i="3"/>
  <c r="L46" i="3"/>
  <c r="N46" i="3"/>
  <c r="L47" i="3"/>
  <c r="N47" i="3"/>
  <c r="L48" i="3"/>
  <c r="N48" i="3"/>
  <c r="L49" i="3"/>
  <c r="N49" i="3"/>
  <c r="L50" i="3"/>
  <c r="N50" i="3"/>
  <c r="L51" i="3"/>
  <c r="N51" i="3"/>
  <c r="L52" i="3"/>
  <c r="N52" i="3"/>
  <c r="L53" i="3"/>
  <c r="N53" i="3"/>
  <c r="L54" i="3"/>
  <c r="N54" i="3"/>
  <c r="L55" i="3"/>
  <c r="N55" i="3"/>
  <c r="L56" i="3"/>
  <c r="N56" i="3"/>
  <c r="L57" i="3"/>
  <c r="N57" i="3"/>
  <c r="O57" i="3" s="1"/>
  <c r="L58" i="3"/>
  <c r="N58" i="3"/>
  <c r="L59" i="3"/>
  <c r="N59" i="3"/>
  <c r="L60" i="3"/>
  <c r="N60" i="3"/>
  <c r="L61" i="3"/>
  <c r="N61" i="3"/>
  <c r="L62" i="3"/>
  <c r="N62" i="3"/>
  <c r="L63" i="3"/>
  <c r="N63" i="3"/>
  <c r="L64" i="3"/>
  <c r="N64" i="3"/>
  <c r="L65" i="3"/>
  <c r="N65" i="3"/>
  <c r="L66" i="3"/>
  <c r="N66" i="3"/>
  <c r="L67" i="3"/>
  <c r="N67" i="3"/>
  <c r="L68" i="3"/>
  <c r="N68" i="3"/>
  <c r="L69" i="3"/>
  <c r="N69" i="3"/>
  <c r="L70" i="3"/>
  <c r="N70" i="3"/>
  <c r="L71" i="3"/>
  <c r="N71" i="3"/>
  <c r="L72" i="3"/>
  <c r="N72" i="3"/>
  <c r="D89" i="3"/>
  <c r="D91" i="3"/>
  <c r="J93" i="3"/>
  <c r="L93" i="3"/>
  <c r="D96" i="3"/>
  <c r="J99" i="3"/>
  <c r="M99" i="3"/>
  <c r="O99" i="3"/>
  <c r="P99" i="3"/>
  <c r="J100" i="3"/>
  <c r="M100" i="3"/>
  <c r="O100" i="3"/>
  <c r="P100" i="3"/>
  <c r="M101" i="3"/>
  <c r="O101" i="3"/>
  <c r="M108" i="3"/>
  <c r="O108" i="3"/>
  <c r="P108" i="3" s="1"/>
  <c r="M109" i="3"/>
  <c r="O109" i="3"/>
  <c r="P109" i="3" s="1"/>
  <c r="M110" i="3"/>
  <c r="O110" i="3"/>
  <c r="P110" i="3" s="1"/>
  <c r="M111" i="3"/>
  <c r="O111" i="3"/>
  <c r="P111" i="3" s="1"/>
  <c r="M112" i="3"/>
  <c r="O112" i="3"/>
  <c r="M113" i="3"/>
  <c r="O113" i="3"/>
  <c r="M114" i="3"/>
  <c r="O114" i="3"/>
  <c r="P114" i="3" s="1"/>
  <c r="M115" i="3"/>
  <c r="O115" i="3"/>
  <c r="P115" i="3" s="1"/>
  <c r="M116" i="3"/>
  <c r="O116" i="3"/>
  <c r="P116" i="3" s="1"/>
  <c r="M117" i="3"/>
  <c r="O117" i="3"/>
  <c r="M118" i="3"/>
  <c r="O118" i="3"/>
  <c r="M119" i="3"/>
  <c r="O119" i="3"/>
  <c r="P119" i="3" s="1"/>
  <c r="M120" i="3"/>
  <c r="O120" i="3"/>
  <c r="M121" i="3"/>
  <c r="O121" i="3"/>
  <c r="M122" i="3"/>
  <c r="O122" i="3"/>
  <c r="P122" i="3" s="1"/>
  <c r="M123" i="3"/>
  <c r="O123" i="3"/>
  <c r="P123" i="3" s="1"/>
  <c r="M124" i="3"/>
  <c r="O124" i="3"/>
  <c r="P124" i="3" s="1"/>
  <c r="M125" i="3"/>
  <c r="O125" i="3"/>
  <c r="M126" i="3"/>
  <c r="O126" i="3"/>
  <c r="P126" i="3" s="1"/>
  <c r="M127" i="3"/>
  <c r="O127" i="3"/>
  <c r="P127" i="3" s="1"/>
  <c r="M128" i="3"/>
  <c r="O128" i="3"/>
  <c r="M129" i="3"/>
  <c r="O129" i="3"/>
  <c r="M130" i="3"/>
  <c r="O130" i="3"/>
  <c r="M131" i="3"/>
  <c r="O131" i="3"/>
  <c r="M132" i="3"/>
  <c r="O132" i="3"/>
  <c r="M133" i="3"/>
  <c r="O133" i="3"/>
  <c r="M134" i="3"/>
  <c r="O134" i="3"/>
  <c r="M135" i="3"/>
  <c r="O135" i="3"/>
  <c r="M136" i="3"/>
  <c r="O136" i="3"/>
  <c r="M137" i="3"/>
  <c r="O137" i="3"/>
  <c r="M138" i="3"/>
  <c r="O138" i="3"/>
  <c r="P138" i="3" s="1"/>
  <c r="M139" i="3"/>
  <c r="O139" i="3"/>
  <c r="M140" i="3"/>
  <c r="O140" i="3"/>
  <c r="M141" i="3"/>
  <c r="O141" i="3"/>
  <c r="P141" i="3" s="1"/>
  <c r="M142" i="3"/>
  <c r="O142" i="3"/>
  <c r="M143" i="3"/>
  <c r="O143" i="3"/>
  <c r="P143" i="3" s="1"/>
  <c r="M144" i="3"/>
  <c r="O144" i="3"/>
  <c r="M145" i="3"/>
  <c r="O145" i="3"/>
  <c r="P145" i="3" s="1"/>
  <c r="M146" i="3"/>
  <c r="O146" i="3"/>
  <c r="M147" i="3"/>
  <c r="O147" i="3"/>
  <c r="P147" i="3" s="1"/>
  <c r="M148" i="3"/>
  <c r="O148" i="3"/>
  <c r="M149" i="3"/>
  <c r="O149" i="3"/>
  <c r="P149" i="3" s="1"/>
  <c r="M150" i="3"/>
  <c r="O150" i="3"/>
  <c r="M151" i="3"/>
  <c r="O151" i="3"/>
  <c r="M152" i="3"/>
  <c r="O152" i="3"/>
  <c r="M153" i="3"/>
  <c r="O153" i="3"/>
  <c r="P153" i="3" s="1"/>
  <c r="M154" i="3"/>
  <c r="O154" i="3"/>
  <c r="F12" i="2"/>
  <c r="F14" i="2"/>
  <c r="E19" i="2" s="1"/>
  <c r="F19" i="2" s="1"/>
  <c r="D17" i="2"/>
  <c r="E17" i="2"/>
  <c r="F17" i="2" s="1"/>
  <c r="F20" i="2" s="1"/>
  <c r="E25" i="2" s="1"/>
  <c r="E26" i="2" s="1"/>
  <c r="D18" i="2"/>
  <c r="E18" i="2"/>
  <c r="F18" i="2" s="1"/>
  <c r="D19" i="2"/>
  <c r="C24" i="2"/>
  <c r="E24" i="2"/>
  <c r="C31" i="2"/>
  <c r="E31" i="2"/>
  <c r="C34" i="2"/>
  <c r="E34" i="2"/>
  <c r="C40" i="2"/>
  <c r="C44" i="2"/>
  <c r="F44" i="2"/>
  <c r="C45" i="2"/>
  <c r="F45" i="2"/>
  <c r="C46" i="2"/>
  <c r="F46" i="2"/>
  <c r="C47" i="2"/>
  <c r="F47" i="2"/>
  <c r="C52" i="2"/>
  <c r="C58" i="2"/>
  <c r="F58" i="2"/>
  <c r="C75" i="2"/>
  <c r="F75" i="2"/>
  <c r="C81" i="2"/>
  <c r="C90" i="2"/>
  <c r="E17" i="1"/>
  <c r="D19" i="1"/>
  <c r="C24" i="1"/>
  <c r="E24" i="1"/>
  <c r="C34" i="1"/>
  <c r="E34" i="1"/>
  <c r="C40" i="1"/>
  <c r="C44" i="1"/>
  <c r="C45" i="1"/>
  <c r="F45" i="1"/>
  <c r="C47" i="1"/>
  <c r="F47" i="1"/>
  <c r="C52" i="1"/>
  <c r="C81" i="1"/>
  <c r="C90" i="1"/>
  <c r="S132" i="1"/>
  <c r="S133" i="1"/>
  <c r="S134" i="1"/>
  <c r="I20" i="6"/>
  <c r="I19" i="6"/>
  <c r="O17" i="22"/>
  <c r="B21" i="8"/>
  <c r="B21" i="6"/>
  <c r="B19" i="22"/>
  <c r="D8" i="3"/>
  <c r="D90" i="3" s="1"/>
  <c r="B23" i="7"/>
  <c r="B21" i="5"/>
  <c r="B21" i="4"/>
  <c r="I21" i="8"/>
  <c r="B20" i="3"/>
  <c r="B23" i="11"/>
  <c r="I23" i="10"/>
  <c r="I19" i="22"/>
  <c r="I22" i="11"/>
  <c r="B22" i="8"/>
  <c r="I18" i="23"/>
  <c r="B20" i="22"/>
  <c r="I23" i="7"/>
  <c r="I17" i="25"/>
  <c r="B24" i="7"/>
  <c r="I20" i="4"/>
  <c r="B22" i="6"/>
  <c r="I20" i="3"/>
  <c r="I22" i="9"/>
  <c r="I17" i="24"/>
  <c r="B100" i="23"/>
  <c r="I21" i="6"/>
  <c r="B105" i="7"/>
  <c r="B101" i="22"/>
  <c r="B103" i="8"/>
  <c r="B103" i="6"/>
  <c r="B105" i="10"/>
  <c r="B102" i="4"/>
  <c r="J104" i="7"/>
  <c r="J99" i="23"/>
  <c r="J103" i="11"/>
  <c r="J103" i="9"/>
  <c r="J104" i="10"/>
  <c r="J101" i="3"/>
  <c r="J101" i="4"/>
  <c r="J102" i="6"/>
  <c r="J100" i="22"/>
  <c r="J102" i="8"/>
  <c r="J101" i="5"/>
  <c r="B18" i="25"/>
  <c r="P99" i="23"/>
  <c r="P100" i="22"/>
  <c r="O19" i="22"/>
  <c r="B104" i="11"/>
  <c r="P104" i="10"/>
  <c r="B24" i="10"/>
  <c r="B104" i="9"/>
  <c r="B23" i="9"/>
  <c r="B102" i="5"/>
  <c r="B102" i="3"/>
  <c r="O20" i="3"/>
  <c r="B21" i="3"/>
  <c r="B19" i="25"/>
  <c r="B20" i="25"/>
  <c r="I18" i="25"/>
  <c r="C99" i="27"/>
  <c r="C100" i="27"/>
  <c r="C101" i="27" s="1"/>
  <c r="C102" i="27" s="1"/>
  <c r="C103" i="27" s="1"/>
  <c r="C104" i="27" s="1"/>
  <c r="C105" i="27" s="1"/>
  <c r="C106" i="27" s="1"/>
  <c r="C107" i="27" s="1"/>
  <c r="C108" i="27" s="1"/>
  <c r="C109" i="27" s="1"/>
  <c r="C110" i="27" s="1"/>
  <c r="C111" i="27" s="1"/>
  <c r="C112" i="27" s="1"/>
  <c r="C113" i="27" s="1"/>
  <c r="C114" i="27" s="1"/>
  <c r="C115" i="27" s="1"/>
  <c r="C116" i="27" s="1"/>
  <c r="C117" i="27" s="1"/>
  <c r="C118" i="27" s="1"/>
  <c r="C119" i="27" s="1"/>
  <c r="C120" i="27" s="1"/>
  <c r="C121" i="27" s="1"/>
  <c r="C122" i="27" s="1"/>
  <c r="C123" i="27" s="1"/>
  <c r="C124" i="27" s="1"/>
  <c r="C125" i="27" s="1"/>
  <c r="C126" i="27" s="1"/>
  <c r="C127" i="27" s="1"/>
  <c r="C128" i="27" s="1"/>
  <c r="C129" i="27" s="1"/>
  <c r="C130" i="27" s="1"/>
  <c r="C131" i="27" s="1"/>
  <c r="C132" i="27" s="1"/>
  <c r="C133" i="27" s="1"/>
  <c r="C134" i="27" s="1"/>
  <c r="C135" i="27" s="1"/>
  <c r="C136" i="27" s="1"/>
  <c r="C137" i="27" s="1"/>
  <c r="C138" i="27" s="1"/>
  <c r="C139" i="27" s="1"/>
  <c r="C140" i="27" s="1"/>
  <c r="C141" i="27" s="1"/>
  <c r="C142" i="27" s="1"/>
  <c r="C143" i="27" s="1"/>
  <c r="C144" i="27" s="1"/>
  <c r="C145" i="27" s="1"/>
  <c r="C146" i="27" s="1"/>
  <c r="C147" i="27" s="1"/>
  <c r="C148" i="27" s="1"/>
  <c r="C149" i="27" s="1"/>
  <c r="C150" i="27" s="1"/>
  <c r="C151" i="27" s="1"/>
  <c r="C152" i="27" s="1"/>
  <c r="C153" i="27" s="1"/>
  <c r="C154" i="27" s="1"/>
  <c r="B24" i="11"/>
  <c r="B21" i="22"/>
  <c r="B102" i="25"/>
  <c r="B25" i="7"/>
  <c r="B23" i="6"/>
  <c r="B22" i="3"/>
  <c r="B22" i="4"/>
  <c r="B103" i="4"/>
  <c r="B105" i="9"/>
  <c r="B106" i="7"/>
  <c r="B102" i="22"/>
  <c r="B103" i="3"/>
  <c r="B101" i="23"/>
  <c r="B105" i="11"/>
  <c r="B104" i="8"/>
  <c r="B106" i="10"/>
  <c r="B103" i="5"/>
  <c r="B21" i="25"/>
  <c r="B18" i="27"/>
  <c r="I18" i="24"/>
  <c r="B19" i="24"/>
  <c r="K18" i="24"/>
  <c r="L18" i="24" s="1"/>
  <c r="B18" i="24"/>
  <c r="P102" i="5"/>
  <c r="C100" i="28"/>
  <c r="C101" i="28" s="1"/>
  <c r="C102" i="28" s="1"/>
  <c r="C103" i="28" s="1"/>
  <c r="C104" i="28" s="1"/>
  <c r="C105" i="28" s="1"/>
  <c r="C106" i="28" s="1"/>
  <c r="C107" i="28" s="1"/>
  <c r="C108" i="28" s="1"/>
  <c r="C109" i="28" s="1"/>
  <c r="C110" i="28" s="1"/>
  <c r="C111" i="28" s="1"/>
  <c r="C112" i="28" s="1"/>
  <c r="C113" i="28" s="1"/>
  <c r="C114" i="28" s="1"/>
  <c r="C115" i="28" s="1"/>
  <c r="C116" i="28" s="1"/>
  <c r="C117" i="28" s="1"/>
  <c r="C118" i="28" s="1"/>
  <c r="C119" i="28" s="1"/>
  <c r="C120" i="28" s="1"/>
  <c r="C121" i="28" s="1"/>
  <c r="C122" i="28" s="1"/>
  <c r="C123" i="28" s="1"/>
  <c r="C124" i="28" s="1"/>
  <c r="C125" i="28" s="1"/>
  <c r="C126" i="28" s="1"/>
  <c r="C99" i="24"/>
  <c r="C100" i="24" s="1"/>
  <c r="C101" i="24" s="1"/>
  <c r="C102" i="24" s="1"/>
  <c r="C103" i="24" s="1"/>
  <c r="C104" i="24" s="1"/>
  <c r="C105" i="24" s="1"/>
  <c r="C106" i="24" s="1"/>
  <c r="C107" i="24" s="1"/>
  <c r="C108" i="24" s="1"/>
  <c r="C109" i="24" s="1"/>
  <c r="C110" i="24" s="1"/>
  <c r="C111" i="24" s="1"/>
  <c r="C112" i="24" s="1"/>
  <c r="C113" i="24" s="1"/>
  <c r="C114" i="24" s="1"/>
  <c r="C115" i="24" s="1"/>
  <c r="C116" i="24" s="1"/>
  <c r="C117" i="24" s="1"/>
  <c r="C118" i="24" s="1"/>
  <c r="C119" i="24" s="1"/>
  <c r="C120" i="24" s="1"/>
  <c r="C121" i="24" s="1"/>
  <c r="C122" i="24" s="1"/>
  <c r="C123" i="24" s="1"/>
  <c r="C124" i="24" s="1"/>
  <c r="C125" i="24" s="1"/>
  <c r="C126" i="24" s="1"/>
  <c r="C127" i="24" s="1"/>
  <c r="C128" i="24" s="1"/>
  <c r="C129" i="24" s="1"/>
  <c r="C130" i="24" s="1"/>
  <c r="C131" i="24" s="1"/>
  <c r="C132" i="24" s="1"/>
  <c r="C133" i="24" s="1"/>
  <c r="C134" i="24" s="1"/>
  <c r="C135" i="24" s="1"/>
  <c r="C136" i="24" s="1"/>
  <c r="C137" i="24" s="1"/>
  <c r="C138" i="24" s="1"/>
  <c r="C139" i="24" s="1"/>
  <c r="C140" i="24" s="1"/>
  <c r="C141" i="24" s="1"/>
  <c r="C142" i="24" s="1"/>
  <c r="C143" i="24" s="1"/>
  <c r="C144" i="24" s="1"/>
  <c r="C145" i="24" s="1"/>
  <c r="C146" i="24" s="1"/>
  <c r="C147" i="24" s="1"/>
  <c r="C148" i="24" s="1"/>
  <c r="C149" i="24" s="1"/>
  <c r="C150" i="24" s="1"/>
  <c r="C151" i="24" s="1"/>
  <c r="C152" i="24" s="1"/>
  <c r="C153" i="24" s="1"/>
  <c r="C154" i="24" s="1"/>
  <c r="P101" i="22"/>
  <c r="O20" i="22"/>
  <c r="P105" i="10"/>
  <c r="B25" i="10"/>
  <c r="B24" i="9"/>
  <c r="P103" i="8"/>
  <c r="B23" i="8"/>
  <c r="P105" i="7"/>
  <c r="B104" i="6"/>
  <c r="B22" i="5"/>
  <c r="P102" i="4"/>
  <c r="O21" i="4"/>
  <c r="P102" i="3"/>
  <c r="M18" i="24"/>
  <c r="N18" i="24" s="1"/>
  <c r="B100" i="24"/>
  <c r="N99" i="24"/>
  <c r="O99" i="24" s="1"/>
  <c r="L99" i="24"/>
  <c r="M99" i="24" s="1"/>
  <c r="J99" i="24"/>
  <c r="D8" i="23"/>
  <c r="D90" i="23" s="1"/>
  <c r="B20" i="23"/>
  <c r="B23" i="5"/>
  <c r="B18" i="29"/>
  <c r="B18" i="28"/>
  <c r="B106" i="9"/>
  <c r="B103" i="22"/>
  <c r="B104" i="3"/>
  <c r="B105" i="6"/>
  <c r="B106" i="11"/>
  <c r="B104" i="5"/>
  <c r="B21" i="23"/>
  <c r="B22" i="25"/>
  <c r="B20" i="24"/>
  <c r="B23" i="3"/>
  <c r="B101" i="24"/>
  <c r="B103" i="25"/>
  <c r="B105" i="8"/>
  <c r="B23" i="4"/>
  <c r="B25" i="11"/>
  <c r="B25" i="9"/>
  <c r="B102" i="23"/>
  <c r="B22" i="22"/>
  <c r="N24" i="11"/>
  <c r="O24" i="11" s="1"/>
  <c r="P106" i="10"/>
  <c r="B107" i="10"/>
  <c r="B26" i="10"/>
  <c r="B24" i="8"/>
  <c r="B107" i="7"/>
  <c r="B26" i="7"/>
  <c r="B24" i="6"/>
  <c r="B104" i="4"/>
  <c r="N22" i="3"/>
  <c r="O22" i="3" s="1"/>
  <c r="C45" i="31"/>
  <c r="C46" i="31"/>
  <c r="C47" i="31" s="1"/>
  <c r="C48" i="31" s="1"/>
  <c r="C49" i="31" s="1"/>
  <c r="C50" i="31" s="1"/>
  <c r="C51" i="31" s="1"/>
  <c r="C52" i="31" s="1"/>
  <c r="C53" i="31" s="1"/>
  <c r="C54" i="31" s="1"/>
  <c r="C55" i="31" s="1"/>
  <c r="C56" i="31" s="1"/>
  <c r="C57" i="31" s="1"/>
  <c r="C58" i="31" s="1"/>
  <c r="C59" i="31" s="1"/>
  <c r="C60" i="31" s="1"/>
  <c r="C61" i="31" s="1"/>
  <c r="C62" i="31" s="1"/>
  <c r="C63" i="31" s="1"/>
  <c r="C64" i="31" s="1"/>
  <c r="C65" i="31" s="1"/>
  <c r="C66" i="31" s="1"/>
  <c r="C67" i="31" s="1"/>
  <c r="C68" i="31" s="1"/>
  <c r="C69" i="31" s="1"/>
  <c r="C70" i="31" s="1"/>
  <c r="C71" i="31" s="1"/>
  <c r="C72" i="31" s="1"/>
  <c r="B18" i="31"/>
  <c r="E13" i="17"/>
  <c r="H3" i="17"/>
  <c r="B19" i="28"/>
  <c r="B25" i="6"/>
  <c r="B23" i="25"/>
  <c r="B22" i="23"/>
  <c r="B23" i="22"/>
  <c r="B102" i="24"/>
  <c r="B105" i="4"/>
  <c r="B104" i="25"/>
  <c r="B106" i="8"/>
  <c r="B105" i="5"/>
  <c r="B104" i="22"/>
  <c r="B26" i="11"/>
  <c r="B21" i="24"/>
  <c r="B25" i="8"/>
  <c r="B24" i="3"/>
  <c r="B27" i="10"/>
  <c r="B24" i="5"/>
  <c r="B107" i="11"/>
  <c r="B107" i="9"/>
  <c r="B108" i="7"/>
  <c r="B19" i="31"/>
  <c r="B100" i="29"/>
  <c r="B19" i="29"/>
  <c r="O18" i="28"/>
  <c r="P101" i="24"/>
  <c r="P102" i="23"/>
  <c r="P106" i="11"/>
  <c r="B108" i="10"/>
  <c r="B26" i="9"/>
  <c r="P105" i="8"/>
  <c r="P107" i="7"/>
  <c r="O26" i="7"/>
  <c r="B27" i="7"/>
  <c r="B106" i="6"/>
  <c r="P104" i="4"/>
  <c r="B24" i="4"/>
  <c r="B105" i="3"/>
  <c r="K18" i="27"/>
  <c r="B103" i="23"/>
  <c r="B100" i="27"/>
  <c r="B19" i="27"/>
  <c r="L18" i="27"/>
  <c r="I18" i="27"/>
  <c r="M18" i="27"/>
  <c r="N18" i="27"/>
  <c r="I19" i="27"/>
  <c r="B101" i="27"/>
  <c r="J100" i="27"/>
  <c r="B100" i="28"/>
  <c r="B18" i="30"/>
  <c r="J94" i="23"/>
  <c r="J94" i="5"/>
  <c r="J95" i="5" s="1"/>
  <c r="J94" i="8"/>
  <c r="J95" i="8" s="1"/>
  <c r="J94" i="7"/>
  <c r="J95" i="7" s="1"/>
  <c r="J94" i="9"/>
  <c r="J95" i="9" s="1"/>
  <c r="J94" i="31"/>
  <c r="J95" i="31" s="1"/>
  <c r="J94" i="27"/>
  <c r="J95" i="27" s="1"/>
  <c r="J94" i="4"/>
  <c r="J95" i="4" s="1"/>
  <c r="C77" i="2"/>
  <c r="P99" i="31"/>
  <c r="B100" i="31"/>
  <c r="C82" i="2"/>
  <c r="C62" i="2"/>
  <c r="C56" i="2"/>
  <c r="A4" i="2"/>
  <c r="M19" i="2"/>
  <c r="B106" i="4"/>
  <c r="J105" i="4"/>
  <c r="B107" i="6"/>
  <c r="J106" i="6"/>
  <c r="B106" i="5"/>
  <c r="B102" i="27"/>
  <c r="B101" i="28"/>
  <c r="B104" i="23"/>
  <c r="B100" i="30"/>
  <c r="B106" i="3"/>
  <c r="B101" i="31"/>
  <c r="B105" i="25"/>
  <c r="B25" i="5"/>
  <c r="B24" i="22"/>
  <c r="B20" i="31"/>
  <c r="B20" i="27"/>
  <c r="B25" i="4"/>
  <c r="B20" i="29"/>
  <c r="B19" i="30"/>
  <c r="B27" i="9"/>
  <c r="B25" i="3"/>
  <c r="B23" i="23"/>
  <c r="J101" i="27"/>
  <c r="B105" i="22"/>
  <c r="J105" i="5"/>
  <c r="J108" i="10"/>
  <c r="B107" i="8"/>
  <c r="J100" i="28"/>
  <c r="B109" i="7"/>
  <c r="J105" i="3"/>
  <c r="I18" i="30"/>
  <c r="I27" i="7"/>
  <c r="I26" i="9"/>
  <c r="B27" i="11"/>
  <c r="B26" i="8"/>
  <c r="I23" i="22"/>
  <c r="B22" i="24"/>
  <c r="I23" i="25"/>
  <c r="I19" i="28"/>
  <c r="B26" i="6"/>
  <c r="I22" i="23"/>
  <c r="I24" i="3"/>
  <c r="I26" i="11"/>
  <c r="I25" i="8"/>
  <c r="I19" i="29"/>
  <c r="I24" i="4"/>
  <c r="I27" i="10"/>
  <c r="I19" i="31"/>
  <c r="I21" i="24"/>
  <c r="I25" i="6"/>
  <c r="J102" i="24"/>
  <c r="J106" i="8"/>
  <c r="J104" i="22"/>
  <c r="J100" i="29"/>
  <c r="J104" i="25"/>
  <c r="J108" i="7"/>
  <c r="J107" i="9"/>
  <c r="J100" i="31"/>
  <c r="J99" i="30"/>
  <c r="J107" i="11"/>
  <c r="J103" i="23"/>
  <c r="I20" i="27"/>
  <c r="B101" i="29"/>
  <c r="B108" i="9"/>
  <c r="B24" i="25"/>
  <c r="B20" i="28"/>
  <c r="B103" i="24"/>
  <c r="B108" i="11"/>
  <c r="B109" i="10"/>
  <c r="B28" i="10"/>
  <c r="L24" i="8"/>
  <c r="B28" i="7"/>
  <c r="I12" i="9"/>
  <c r="I13" i="9" s="1"/>
  <c r="I12" i="24"/>
  <c r="I13" i="24" s="1"/>
  <c r="I12" i="6"/>
  <c r="I13" i="6" s="1"/>
  <c r="I12" i="25"/>
  <c r="I13" i="25" s="1"/>
  <c r="P111" i="30"/>
  <c r="P99" i="30"/>
  <c r="C99" i="13"/>
  <c r="C100" i="13" s="1"/>
  <c r="C101" i="13" s="1"/>
  <c r="C102" i="13" s="1"/>
  <c r="C103" i="13" s="1"/>
  <c r="C104" i="13" s="1"/>
  <c r="C105" i="13" s="1"/>
  <c r="C106" i="13" s="1"/>
  <c r="C107" i="13" s="1"/>
  <c r="C108" i="13" s="1"/>
  <c r="C109" i="13" s="1"/>
  <c r="C110" i="13" s="1"/>
  <c r="C111" i="13" s="1"/>
  <c r="C112" i="13" s="1"/>
  <c r="C113" i="13" s="1"/>
  <c r="C114" i="13" s="1"/>
  <c r="C115" i="13" s="1"/>
  <c r="C116" i="13" s="1"/>
  <c r="C117" i="13" s="1"/>
  <c r="C118" i="13" s="1"/>
  <c r="C119" i="13" s="1"/>
  <c r="C120" i="13" s="1"/>
  <c r="C121" i="13" s="1"/>
  <c r="C122" i="13" s="1"/>
  <c r="C123" i="13" s="1"/>
  <c r="C124" i="13" s="1"/>
  <c r="C125" i="13" s="1"/>
  <c r="C126" i="13" s="1"/>
  <c r="C127" i="13" s="1"/>
  <c r="C18" i="13"/>
  <c r="C19" i="13" s="1"/>
  <c r="C20" i="13" s="1"/>
  <c r="C21" i="13" s="1"/>
  <c r="C22" i="13" s="1"/>
  <c r="C23" i="13" s="1"/>
  <c r="C24" i="13" s="1"/>
  <c r="C25" i="13" s="1"/>
  <c r="C26" i="13" s="1"/>
  <c r="C27" i="13" s="1"/>
  <c r="C28" i="13" s="1"/>
  <c r="C29" i="13" s="1"/>
  <c r="C30" i="13" s="1"/>
  <c r="C31" i="13" s="1"/>
  <c r="C32" i="13" s="1"/>
  <c r="C33" i="13" s="1"/>
  <c r="C34" i="13" s="1"/>
  <c r="C35" i="13" s="1"/>
  <c r="C36" i="13" s="1"/>
  <c r="C37" i="13" s="1"/>
  <c r="C38" i="13" s="1"/>
  <c r="C39" i="13" s="1"/>
  <c r="C40" i="13" s="1"/>
  <c r="C41" i="13" s="1"/>
  <c r="C42" i="13" s="1"/>
  <c r="C43" i="13" s="1"/>
  <c r="C44" i="13" s="1"/>
  <c r="O17" i="37"/>
  <c r="J94" i="39"/>
  <c r="J95" i="39"/>
  <c r="J94" i="38"/>
  <c r="J94" i="6"/>
  <c r="J95" i="6" s="1"/>
  <c r="J94" i="29"/>
  <c r="J95" i="29" s="1"/>
  <c r="J94" i="3"/>
  <c r="J95" i="3" s="1"/>
  <c r="J94" i="24"/>
  <c r="J95" i="24" s="1"/>
  <c r="J94" i="28"/>
  <c r="J95" i="28"/>
  <c r="J94" i="13"/>
  <c r="J95" i="13" s="1"/>
  <c r="J94" i="30"/>
  <c r="J95" i="30" s="1"/>
  <c r="J94" i="11"/>
  <c r="J95" i="11" s="1"/>
  <c r="J94" i="10"/>
  <c r="J95" i="10" s="1"/>
  <c r="J94" i="25"/>
  <c r="J95" i="25" s="1"/>
  <c r="J94" i="22"/>
  <c r="P126" i="10"/>
  <c r="P123" i="23"/>
  <c r="J94" i="40"/>
  <c r="J95" i="40" s="1"/>
  <c r="P108" i="27"/>
  <c r="P119" i="7"/>
  <c r="J94" i="37"/>
  <c r="J95" i="37"/>
  <c r="F48" i="2"/>
  <c r="F52" i="2" s="1"/>
  <c r="P119" i="4"/>
  <c r="P108" i="5"/>
  <c r="P123" i="27"/>
  <c r="C14" i="2"/>
  <c r="C22" i="2"/>
  <c r="C10" i="2"/>
  <c r="C80" i="2"/>
  <c r="C28" i="2"/>
  <c r="C61" i="2"/>
  <c r="C73" i="2"/>
  <c r="C76" i="2"/>
  <c r="C59" i="2"/>
  <c r="C50" i="2"/>
  <c r="J92" i="4"/>
  <c r="L86" i="4" s="1"/>
  <c r="J92" i="8"/>
  <c r="N87" i="8" s="1"/>
  <c r="J92" i="22"/>
  <c r="L86" i="22" s="1"/>
  <c r="J92" i="27"/>
  <c r="J92" i="31"/>
  <c r="N87" i="31" s="1"/>
  <c r="J92" i="40"/>
  <c r="L86" i="40" s="1"/>
  <c r="J92" i="5"/>
  <c r="L86" i="5" s="1"/>
  <c r="J92" i="9"/>
  <c r="M87" i="9" s="1"/>
  <c r="J92" i="23"/>
  <c r="M87" i="23" s="1"/>
  <c r="J92" i="28"/>
  <c r="J92" i="37"/>
  <c r="M87" i="37" s="1"/>
  <c r="B23" i="24"/>
  <c r="L86" i="9"/>
  <c r="B101" i="30"/>
  <c r="B104" i="24"/>
  <c r="B108" i="8"/>
  <c r="B21" i="31"/>
  <c r="B25" i="25"/>
  <c r="B107" i="5"/>
  <c r="B102" i="28"/>
  <c r="B102" i="29"/>
  <c r="B106" i="25"/>
  <c r="B102" i="31"/>
  <c r="B108" i="6"/>
  <c r="B26" i="4"/>
  <c r="B28" i="11"/>
  <c r="B29" i="10"/>
  <c r="B21" i="29"/>
  <c r="B21" i="27"/>
  <c r="B20" i="30"/>
  <c r="B25" i="22"/>
  <c r="B27" i="8"/>
  <c r="B107" i="4"/>
  <c r="B26" i="3"/>
  <c r="I17" i="39"/>
  <c r="B18" i="37"/>
  <c r="I25" i="3"/>
  <c r="I17" i="37"/>
  <c r="B28" i="9"/>
  <c r="B29" i="7"/>
  <c r="B24" i="23"/>
  <c r="B26" i="5"/>
  <c r="B27" i="6"/>
  <c r="I17" i="38"/>
  <c r="B18" i="39"/>
  <c r="O17" i="39"/>
  <c r="O17" i="38"/>
  <c r="P113" i="31"/>
  <c r="P127" i="31"/>
  <c r="P127" i="30"/>
  <c r="P121" i="29"/>
  <c r="P104" i="28"/>
  <c r="B21" i="28"/>
  <c r="P104" i="27"/>
  <c r="P125" i="27"/>
  <c r="P129" i="27"/>
  <c r="P117" i="27"/>
  <c r="B105" i="23"/>
  <c r="P130" i="22"/>
  <c r="P142" i="10"/>
  <c r="P150" i="10"/>
  <c r="P122" i="10"/>
  <c r="P122" i="9"/>
  <c r="P119" i="9"/>
  <c r="P130" i="8"/>
  <c r="P154" i="7"/>
  <c r="P129" i="7"/>
  <c r="P149" i="7"/>
  <c r="P140" i="7"/>
  <c r="P120" i="7"/>
  <c r="B110" i="7"/>
  <c r="P154" i="6"/>
  <c r="P134" i="6"/>
  <c r="P147" i="6"/>
  <c r="P139" i="6"/>
  <c r="P131" i="6"/>
  <c r="P125" i="6"/>
  <c r="P130" i="6"/>
  <c r="P116" i="6"/>
  <c r="P114" i="5"/>
  <c r="P154" i="5"/>
  <c r="P145" i="5"/>
  <c r="P111" i="4"/>
  <c r="P110" i="4"/>
  <c r="P152" i="3"/>
  <c r="B107" i="3"/>
  <c r="P133" i="3"/>
  <c r="P120" i="3"/>
  <c r="C45" i="43"/>
  <c r="C46" i="43" s="1"/>
  <c r="C47" i="43"/>
  <c r="C48" i="43" s="1"/>
  <c r="C49" i="43" s="1"/>
  <c r="C50" i="43" s="1"/>
  <c r="C51" i="43" s="1"/>
  <c r="C52" i="43" s="1"/>
  <c r="C53" i="43" s="1"/>
  <c r="C54" i="43" s="1"/>
  <c r="C55" i="43" s="1"/>
  <c r="C56" i="43" s="1"/>
  <c r="C57" i="43" s="1"/>
  <c r="C58" i="43" s="1"/>
  <c r="C59" i="43" s="1"/>
  <c r="C60" i="43" s="1"/>
  <c r="C61" i="43" s="1"/>
  <c r="C62" i="43" s="1"/>
  <c r="C63" i="43" s="1"/>
  <c r="C64" i="43" s="1"/>
  <c r="C65" i="43" s="1"/>
  <c r="C66" i="43" s="1"/>
  <c r="C67" i="43" s="1"/>
  <c r="C68" i="43" s="1"/>
  <c r="C69" i="43" s="1"/>
  <c r="C70" i="43" s="1"/>
  <c r="C71" i="43" s="1"/>
  <c r="C72" i="43" s="1"/>
  <c r="C18" i="42"/>
  <c r="C19" i="42" s="1"/>
  <c r="C20" i="42" s="1"/>
  <c r="C21" i="42" s="1"/>
  <c r="C22" i="42" s="1"/>
  <c r="C23" i="42" s="1"/>
  <c r="C24" i="42" s="1"/>
  <c r="C25" i="42" s="1"/>
  <c r="C26" i="42" s="1"/>
  <c r="C27" i="42" s="1"/>
  <c r="C28" i="42" s="1"/>
  <c r="C29" i="42" s="1"/>
  <c r="C30" i="42" s="1"/>
  <c r="C31" i="42" s="1"/>
  <c r="C32" i="42" s="1"/>
  <c r="C33" i="42" s="1"/>
  <c r="C34" i="42" s="1"/>
  <c r="C35" i="42" s="1"/>
  <c r="C36" i="42" s="1"/>
  <c r="C37" i="42" s="1"/>
  <c r="C38" i="42" s="1"/>
  <c r="C39" i="42" s="1"/>
  <c r="C40" i="42" s="1"/>
  <c r="C41" i="42" s="1"/>
  <c r="C42" i="42" s="1"/>
  <c r="C43" i="42" s="1"/>
  <c r="C44" i="42" s="1"/>
  <c r="C45" i="41"/>
  <c r="C46" i="41" s="1"/>
  <c r="C47" i="41" s="1"/>
  <c r="C48" i="41" s="1"/>
  <c r="C49" i="41" s="1"/>
  <c r="C50" i="41" s="1"/>
  <c r="C51" i="41" s="1"/>
  <c r="C52" i="41"/>
  <c r="C53" i="41" s="1"/>
  <c r="C54" i="41" s="1"/>
  <c r="C55" i="41" s="1"/>
  <c r="C56" i="41" s="1"/>
  <c r="C57" i="41" s="1"/>
  <c r="C58" i="41" s="1"/>
  <c r="C59" i="41" s="1"/>
  <c r="C60" i="41" s="1"/>
  <c r="C61" i="41" s="1"/>
  <c r="C62" i="41" s="1"/>
  <c r="C63" i="41" s="1"/>
  <c r="C64" i="41" s="1"/>
  <c r="C65" i="41" s="1"/>
  <c r="C66" i="41" s="1"/>
  <c r="C67" i="41" s="1"/>
  <c r="C68" i="41" s="1"/>
  <c r="C69" i="41" s="1"/>
  <c r="C70" i="41" s="1"/>
  <c r="C71" i="41" s="1"/>
  <c r="C72" i="41" s="1"/>
  <c r="B18" i="38"/>
  <c r="I12" i="41"/>
  <c r="I13" i="41" s="1"/>
  <c r="I12" i="42"/>
  <c r="I13" i="42" s="1"/>
  <c r="I12" i="11"/>
  <c r="I13" i="11" s="1"/>
  <c r="I12" i="23"/>
  <c r="I13" i="23" s="1"/>
  <c r="I12" i="8"/>
  <c r="I13" i="8" s="1"/>
  <c r="I12" i="38"/>
  <c r="I13" i="38" s="1"/>
  <c r="I12" i="7"/>
  <c r="I13" i="7" s="1"/>
  <c r="I12" i="37"/>
  <c r="I13" i="37" s="1"/>
  <c r="I12" i="4"/>
  <c r="I13" i="4" s="1"/>
  <c r="I12" i="29"/>
  <c r="I13" i="29" s="1"/>
  <c r="O49" i="13"/>
  <c r="C10" i="1"/>
  <c r="C22" i="1"/>
  <c r="P103" i="39"/>
  <c r="B30" i="7"/>
  <c r="B18" i="40"/>
  <c r="B18" i="43"/>
  <c r="B28" i="6"/>
  <c r="B22" i="31"/>
  <c r="B22" i="28"/>
  <c r="I21" i="31"/>
  <c r="M17" i="43"/>
  <c r="N17" i="43" s="1"/>
  <c r="O17" i="43" s="1"/>
  <c r="I21" i="28"/>
  <c r="B29" i="9"/>
  <c r="K17" i="43"/>
  <c r="L17" i="43" s="1"/>
  <c r="I17" i="43"/>
  <c r="B19" i="39"/>
  <c r="I25" i="22"/>
  <c r="B22" i="27"/>
  <c r="I17" i="40"/>
  <c r="P119" i="13"/>
  <c r="I26" i="4"/>
  <c r="I28" i="9"/>
  <c r="I29" i="7"/>
  <c r="I27" i="6"/>
  <c r="I28" i="11"/>
  <c r="I18" i="39"/>
  <c r="I22" i="27"/>
  <c r="B19" i="38"/>
  <c r="B18" i="42"/>
  <c r="B26" i="25"/>
  <c r="B21" i="30"/>
  <c r="B27" i="3"/>
  <c r="B22" i="29"/>
  <c r="B25" i="23"/>
  <c r="I18" i="38"/>
  <c r="B19" i="37"/>
  <c r="I24" i="23"/>
  <c r="I23" i="24"/>
  <c r="I29" i="10"/>
  <c r="I25" i="25"/>
  <c r="K17" i="42"/>
  <c r="L17" i="42" s="1"/>
  <c r="K17" i="41"/>
  <c r="L17" i="41" s="1"/>
  <c r="I18" i="37"/>
  <c r="M17" i="41"/>
  <c r="N17" i="41"/>
  <c r="I17" i="41"/>
  <c r="I27" i="8"/>
  <c r="I17" i="42"/>
  <c r="M17" i="42"/>
  <c r="N17" i="42" s="1"/>
  <c r="O17" i="42" s="1"/>
  <c r="I21" i="29"/>
  <c r="B30" i="10"/>
  <c r="I20" i="30"/>
  <c r="P110" i="42"/>
  <c r="C45" i="24"/>
  <c r="C46" i="24" s="1"/>
  <c r="C47" i="24" s="1"/>
  <c r="C48" i="24"/>
  <c r="C49" i="24" s="1"/>
  <c r="C50" i="24" s="1"/>
  <c r="C51" i="24"/>
  <c r="C52" i="24" s="1"/>
  <c r="C53" i="24" s="1"/>
  <c r="C54" i="24" s="1"/>
  <c r="C55" i="24" s="1"/>
  <c r="C56" i="24" s="1"/>
  <c r="C57" i="24" s="1"/>
  <c r="C58" i="24" s="1"/>
  <c r="C59" i="24" s="1"/>
  <c r="C60" i="24" s="1"/>
  <c r="C61" i="24" s="1"/>
  <c r="C62" i="24" s="1"/>
  <c r="C63" i="24" s="1"/>
  <c r="C64" i="24" s="1"/>
  <c r="C65" i="24" s="1"/>
  <c r="C66" i="24" s="1"/>
  <c r="C67" i="24" s="1"/>
  <c r="C68" i="24" s="1"/>
  <c r="C69" i="24" s="1"/>
  <c r="C70" i="24" s="1"/>
  <c r="C71" i="24" s="1"/>
  <c r="C72" i="24" s="1"/>
  <c r="L86" i="41"/>
  <c r="N87" i="41"/>
  <c r="M87" i="41"/>
  <c r="L86" i="37"/>
  <c r="J92" i="7"/>
  <c r="M87" i="7" s="1"/>
  <c r="J92" i="24"/>
  <c r="L86" i="24" s="1"/>
  <c r="J92" i="30"/>
  <c r="N87" i="30" s="1"/>
  <c r="P106" i="13"/>
  <c r="O22" i="41"/>
  <c r="B18" i="41"/>
  <c r="O18" i="37"/>
  <c r="O21" i="31"/>
  <c r="O20" i="30"/>
  <c r="O29" i="27"/>
  <c r="B26" i="22"/>
  <c r="B29" i="11"/>
  <c r="O28" i="9"/>
  <c r="O28" i="8"/>
  <c r="B27" i="4"/>
  <c r="L86" i="30"/>
  <c r="M87" i="30"/>
  <c r="N87" i="7"/>
  <c r="B27" i="5"/>
  <c r="B24" i="24"/>
  <c r="C128" i="13"/>
  <c r="C129" i="13" s="1"/>
  <c r="C130" i="13" s="1"/>
  <c r="C131" i="13" s="1"/>
  <c r="C132" i="13" s="1"/>
  <c r="C133" i="13" s="1"/>
  <c r="C134" i="13" s="1"/>
  <c r="C135" i="13" s="1"/>
  <c r="C136" i="13" s="1"/>
  <c r="C137" i="13" s="1"/>
  <c r="C138" i="13" s="1"/>
  <c r="C139" i="13" s="1"/>
  <c r="C140" i="13" s="1"/>
  <c r="C141" i="13" s="1"/>
  <c r="C142" i="13" s="1"/>
  <c r="C143" i="13" s="1"/>
  <c r="C144" i="13" s="1"/>
  <c r="C145" i="13" s="1"/>
  <c r="C146" i="13" s="1"/>
  <c r="C147" i="13" s="1"/>
  <c r="C148" i="13" s="1"/>
  <c r="C149" i="13" s="1"/>
  <c r="C150" i="13" s="1"/>
  <c r="C151" i="13" s="1"/>
  <c r="C152" i="13" s="1"/>
  <c r="C153" i="13" s="1"/>
  <c r="C154" i="13" s="1"/>
  <c r="C45" i="13"/>
  <c r="C46" i="13" s="1"/>
  <c r="C47" i="13"/>
  <c r="C48" i="13" s="1"/>
  <c r="C49" i="13" s="1"/>
  <c r="C50" i="13" s="1"/>
  <c r="C51" i="13" s="1"/>
  <c r="C52" i="13"/>
  <c r="C53" i="13" s="1"/>
  <c r="C54" i="13" s="1"/>
  <c r="C55" i="13" s="1"/>
  <c r="C56" i="13" s="1"/>
  <c r="C57" i="13" s="1"/>
  <c r="C58" i="13" s="1"/>
  <c r="C59" i="13" s="1"/>
  <c r="C60" i="13" s="1"/>
  <c r="C61" i="13" s="1"/>
  <c r="C62" i="13" s="1"/>
  <c r="C63" i="13" s="1"/>
  <c r="C64" i="13" s="1"/>
  <c r="C65" i="13" s="1"/>
  <c r="C66" i="13" s="1"/>
  <c r="C67" i="13" s="1"/>
  <c r="C68" i="13" s="1"/>
  <c r="C69" i="13" s="1"/>
  <c r="C70" i="13" s="1"/>
  <c r="C71" i="13" s="1"/>
  <c r="C72" i="13" s="1"/>
  <c r="B110" i="10"/>
  <c r="J95" i="23"/>
  <c r="C127" i="28"/>
  <c r="C128" i="28"/>
  <c r="C129" i="28" s="1"/>
  <c r="C130" i="28"/>
  <c r="C131" i="28" s="1"/>
  <c r="C132" i="28" s="1"/>
  <c r="C133" i="28" s="1"/>
  <c r="C134" i="28" s="1"/>
  <c r="C135" i="28" s="1"/>
  <c r="C136" i="28" s="1"/>
  <c r="C137" i="28" s="1"/>
  <c r="C138" i="28"/>
  <c r="C139" i="28" s="1"/>
  <c r="C140" i="28" s="1"/>
  <c r="C141" i="28" s="1"/>
  <c r="C142" i="28" s="1"/>
  <c r="C143" i="28" s="1"/>
  <c r="C144" i="28" s="1"/>
  <c r="C145" i="28" s="1"/>
  <c r="C146" i="28"/>
  <c r="C147" i="28" s="1"/>
  <c r="C148" i="28" s="1"/>
  <c r="C149" i="28" s="1"/>
  <c r="C150" i="28" s="1"/>
  <c r="C151" i="28" s="1"/>
  <c r="C152" i="28" s="1"/>
  <c r="C153" i="28" s="1"/>
  <c r="C154" i="28"/>
  <c r="C45" i="11"/>
  <c r="C46" i="11"/>
  <c r="C47" i="11" s="1"/>
  <c r="C48" i="11" s="1"/>
  <c r="C49" i="11" s="1"/>
  <c r="C50" i="11" s="1"/>
  <c r="C51" i="11" s="1"/>
  <c r="C52" i="11" s="1"/>
  <c r="C53" i="11" s="1"/>
  <c r="C54" i="11" s="1"/>
  <c r="C55" i="11" s="1"/>
  <c r="C56" i="11" s="1"/>
  <c r="C57" i="11" s="1"/>
  <c r="C58" i="11" s="1"/>
  <c r="C59" i="11" s="1"/>
  <c r="C60" i="11" s="1"/>
  <c r="C61" i="11" s="1"/>
  <c r="C62" i="11" s="1"/>
  <c r="C63" i="11" s="1"/>
  <c r="C64" i="11" s="1"/>
  <c r="C65" i="11" s="1"/>
  <c r="C66" i="11" s="1"/>
  <c r="C67" i="11" s="1"/>
  <c r="C68" i="11" s="1"/>
  <c r="C69" i="11" s="1"/>
  <c r="C70" i="11" s="1"/>
  <c r="C71" i="11" s="1"/>
  <c r="C72" i="11" s="1"/>
  <c r="C45" i="10"/>
  <c r="C46" i="10"/>
  <c r="C47" i="10" s="1"/>
  <c r="C48" i="10"/>
  <c r="C49" i="10" s="1"/>
  <c r="C50" i="10" s="1"/>
  <c r="C51" i="10" s="1"/>
  <c r="C52" i="10" s="1"/>
  <c r="C53" i="10" s="1"/>
  <c r="C54" i="10" s="1"/>
  <c r="C55" i="10" s="1"/>
  <c r="C56" i="10" s="1"/>
  <c r="C57" i="10" s="1"/>
  <c r="C58" i="10" s="1"/>
  <c r="C59" i="10" s="1"/>
  <c r="C60" i="10" s="1"/>
  <c r="C61" i="10" s="1"/>
  <c r="C62" i="10" s="1"/>
  <c r="C63" i="10" s="1"/>
  <c r="C64" i="10" s="1"/>
  <c r="C65" i="10" s="1"/>
  <c r="C66" i="10" s="1"/>
  <c r="C67" i="10" s="1"/>
  <c r="C68" i="10" s="1"/>
  <c r="C69" i="10" s="1"/>
  <c r="C70" i="10" s="1"/>
  <c r="C71" i="10" s="1"/>
  <c r="C72" i="10" s="1"/>
  <c r="C45" i="3"/>
  <c r="C46" i="3"/>
  <c r="C47" i="3" s="1"/>
  <c r="C48" i="3" s="1"/>
  <c r="C49" i="3" s="1"/>
  <c r="C50" i="3" s="1"/>
  <c r="C51" i="3" s="1"/>
  <c r="C52" i="3"/>
  <c r="C53" i="3" s="1"/>
  <c r="C54" i="3" s="1"/>
  <c r="C55" i="3" s="1"/>
  <c r="C56" i="3" s="1"/>
  <c r="C57" i="3" s="1"/>
  <c r="C58" i="3" s="1"/>
  <c r="C59" i="3" s="1"/>
  <c r="C60" i="3"/>
  <c r="C61" i="3" s="1"/>
  <c r="C62" i="3" s="1"/>
  <c r="C63" i="3" s="1"/>
  <c r="C64" i="3" s="1"/>
  <c r="C65" i="3" s="1"/>
  <c r="C66" i="3" s="1"/>
  <c r="C67" i="3" s="1"/>
  <c r="C68" i="3"/>
  <c r="C69" i="3" s="1"/>
  <c r="C70" i="3" s="1"/>
  <c r="C71" i="3" s="1"/>
  <c r="C72" i="3" s="1"/>
  <c r="C45" i="25"/>
  <c r="C46" i="25"/>
  <c r="C47" i="25" s="1"/>
  <c r="C48" i="25" s="1"/>
  <c r="C49" i="25" s="1"/>
  <c r="C50" i="25" s="1"/>
  <c r="C51" i="25" s="1"/>
  <c r="C52" i="25" s="1"/>
  <c r="C53" i="25" s="1"/>
  <c r="C54" i="25" s="1"/>
  <c r="C55" i="25" s="1"/>
  <c r="C56" i="25" s="1"/>
  <c r="C57" i="25" s="1"/>
  <c r="C58" i="25" s="1"/>
  <c r="C59" i="25" s="1"/>
  <c r="C60" i="25" s="1"/>
  <c r="C61" i="25" s="1"/>
  <c r="C62" i="25" s="1"/>
  <c r="C63" i="25" s="1"/>
  <c r="C64" i="25" s="1"/>
  <c r="C65" i="25" s="1"/>
  <c r="C66" i="25" s="1"/>
  <c r="C67" i="25" s="1"/>
  <c r="C68" i="25" s="1"/>
  <c r="C69" i="25" s="1"/>
  <c r="C70" i="25" s="1"/>
  <c r="C71" i="25" s="1"/>
  <c r="C72" i="25" s="1"/>
  <c r="C45" i="28"/>
  <c r="C46" i="28"/>
  <c r="C47" i="28" s="1"/>
  <c r="C48" i="28" s="1"/>
  <c r="C49" i="28" s="1"/>
  <c r="C50" i="28" s="1"/>
  <c r="C51" i="28" s="1"/>
  <c r="C52" i="28" s="1"/>
  <c r="C53" i="28" s="1"/>
  <c r="C54" i="28" s="1"/>
  <c r="C55" i="28" s="1"/>
  <c r="C56" i="28" s="1"/>
  <c r="C57" i="28" s="1"/>
  <c r="C58" i="28" s="1"/>
  <c r="C59" i="28" s="1"/>
  <c r="C60" i="28" s="1"/>
  <c r="C61" i="28" s="1"/>
  <c r="C62" i="28" s="1"/>
  <c r="C63" i="28" s="1"/>
  <c r="C64" i="28" s="1"/>
  <c r="C65" i="28" s="1"/>
  <c r="C66" i="28" s="1"/>
  <c r="C67" i="28" s="1"/>
  <c r="C68" i="28" s="1"/>
  <c r="C69" i="28" s="1"/>
  <c r="C70" i="28" s="1"/>
  <c r="C71" i="28" s="1"/>
  <c r="C72" i="28" s="1"/>
  <c r="C45" i="29"/>
  <c r="C46" i="29" s="1"/>
  <c r="C47" i="29" s="1"/>
  <c r="C48" i="29" s="1"/>
  <c r="C49" i="29" s="1"/>
  <c r="C50" i="29" s="1"/>
  <c r="C51" i="29" s="1"/>
  <c r="C52" i="29" s="1"/>
  <c r="C53" i="29"/>
  <c r="C54" i="29" s="1"/>
  <c r="C55" i="29" s="1"/>
  <c r="C56" i="29" s="1"/>
  <c r="C57" i="29" s="1"/>
  <c r="C58" i="29" s="1"/>
  <c r="C59" i="29" s="1"/>
  <c r="C60" i="29" s="1"/>
  <c r="C61" i="29"/>
  <c r="C62" i="29" s="1"/>
  <c r="C63" i="29" s="1"/>
  <c r="C64" i="29" s="1"/>
  <c r="C65" i="29" s="1"/>
  <c r="C66" i="29" s="1"/>
  <c r="C67" i="29" s="1"/>
  <c r="C68" i="29" s="1"/>
  <c r="C69" i="29" s="1"/>
  <c r="C70" i="29" s="1"/>
  <c r="C71" i="29" s="1"/>
  <c r="C72" i="29" s="1"/>
  <c r="C45" i="37"/>
  <c r="C46" i="37"/>
  <c r="C47" i="37" s="1"/>
  <c r="C48" i="37" s="1"/>
  <c r="C49" i="37" s="1"/>
  <c r="C50" i="37" s="1"/>
  <c r="C51" i="37" s="1"/>
  <c r="C52" i="37" s="1"/>
  <c r="C53" i="37" s="1"/>
  <c r="C54" i="37" s="1"/>
  <c r="C55" i="37" s="1"/>
  <c r="C56" i="37" s="1"/>
  <c r="C57" i="37" s="1"/>
  <c r="C58" i="37" s="1"/>
  <c r="C59" i="37" s="1"/>
  <c r="C60" i="37" s="1"/>
  <c r="C61" i="37" s="1"/>
  <c r="C62" i="37" s="1"/>
  <c r="C63" i="37" s="1"/>
  <c r="C64" i="37" s="1"/>
  <c r="C65" i="37" s="1"/>
  <c r="C66" i="37" s="1"/>
  <c r="C67" i="37" s="1"/>
  <c r="C68" i="37" s="1"/>
  <c r="C69" i="37" s="1"/>
  <c r="C70" i="37" s="1"/>
  <c r="C71" i="37" s="1"/>
  <c r="C72" i="37" s="1"/>
  <c r="N87" i="37"/>
  <c r="N87" i="23"/>
  <c r="M87" i="8"/>
  <c r="L86" i="8"/>
  <c r="J95" i="22"/>
  <c r="C45" i="27"/>
  <c r="C46" i="27" s="1"/>
  <c r="C47" i="27"/>
  <c r="C48" i="27" s="1"/>
  <c r="C49" i="27" s="1"/>
  <c r="C50" i="27" s="1"/>
  <c r="C51" i="27" s="1"/>
  <c r="C52" i="27" s="1"/>
  <c r="C53" i="27" s="1"/>
  <c r="C54" i="27" s="1"/>
  <c r="C55" i="27"/>
  <c r="C56" i="27" s="1"/>
  <c r="C57" i="27" s="1"/>
  <c r="C58" i="27" s="1"/>
  <c r="C59" i="27" s="1"/>
  <c r="C60" i="27" s="1"/>
  <c r="C61" i="27" s="1"/>
  <c r="C62" i="27" s="1"/>
  <c r="C63" i="27"/>
  <c r="C64" i="27" s="1"/>
  <c r="C65" i="27" s="1"/>
  <c r="C66" i="27" s="1"/>
  <c r="C67" i="27" s="1"/>
  <c r="C68" i="27" s="1"/>
  <c r="C69" i="27" s="1"/>
  <c r="C70" i="27" s="1"/>
  <c r="C71" i="27"/>
  <c r="C72" i="27" s="1"/>
  <c r="B109" i="9"/>
  <c r="C45" i="9"/>
  <c r="C46" i="9"/>
  <c r="C47" i="9" s="1"/>
  <c r="C48" i="9" s="1"/>
  <c r="C49" i="9" s="1"/>
  <c r="C50" i="9" s="1"/>
  <c r="C51" i="9" s="1"/>
  <c r="C52" i="9" s="1"/>
  <c r="C53" i="9" s="1"/>
  <c r="C54" i="9"/>
  <c r="C55" i="9" s="1"/>
  <c r="C56" i="9" s="1"/>
  <c r="C57" i="9" s="1"/>
  <c r="C58" i="9" s="1"/>
  <c r="C59" i="9" s="1"/>
  <c r="C60" i="9" s="1"/>
  <c r="C61" i="9" s="1"/>
  <c r="C62" i="9"/>
  <c r="C63" i="9" s="1"/>
  <c r="C64" i="9" s="1"/>
  <c r="C65" i="9" s="1"/>
  <c r="C66" i="9" s="1"/>
  <c r="C67" i="9" s="1"/>
  <c r="C68" i="9" s="1"/>
  <c r="C69" i="9" s="1"/>
  <c r="C70" i="9" s="1"/>
  <c r="C71" i="9" s="1"/>
  <c r="C72" i="9" s="1"/>
  <c r="N87" i="9"/>
  <c r="B106" i="22"/>
  <c r="C45" i="4"/>
  <c r="C46" i="4"/>
  <c r="C47" i="4" s="1"/>
  <c r="C48" i="4" s="1"/>
  <c r="C49" i="4" s="1"/>
  <c r="C50" i="4" s="1"/>
  <c r="C51" i="4" s="1"/>
  <c r="C52" i="4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N87" i="22"/>
  <c r="P137" i="3"/>
  <c r="O18" i="3"/>
  <c r="P114" i="7"/>
  <c r="P101" i="11"/>
  <c r="P102" i="7"/>
  <c r="P99" i="11"/>
  <c r="J94" i="44"/>
  <c r="J94" i="45"/>
  <c r="J95" i="45" s="1"/>
  <c r="J94" i="43"/>
  <c r="J95" i="43" s="1"/>
  <c r="J94" i="42"/>
  <c r="J95" i="42" s="1"/>
  <c r="J94" i="41"/>
  <c r="J95" i="41" s="1"/>
  <c r="I12" i="45"/>
  <c r="I13" i="45" s="1"/>
  <c r="I12" i="44"/>
  <c r="I13" i="44" s="1"/>
  <c r="O20" i="25"/>
  <c r="P103" i="3"/>
  <c r="P103" i="4"/>
  <c r="O21" i="22"/>
  <c r="O19" i="27"/>
  <c r="P112" i="28"/>
  <c r="P103" i="5"/>
  <c r="O23" i="8"/>
  <c r="O25" i="10"/>
  <c r="P102" i="25"/>
  <c r="P106" i="9"/>
  <c r="P105" i="11"/>
  <c r="O17" i="31"/>
  <c r="O18" i="29"/>
  <c r="P104" i="25"/>
  <c r="P106" i="3"/>
  <c r="P106" i="5"/>
  <c r="P108" i="11"/>
  <c r="J92" i="45"/>
  <c r="L86" i="45" s="1"/>
  <c r="J92" i="44"/>
  <c r="N88" i="44" s="1"/>
  <c r="J92" i="43"/>
  <c r="J92" i="42"/>
  <c r="J92" i="6"/>
  <c r="L86" i="6" s="1"/>
  <c r="P107" i="6"/>
  <c r="P108" i="9"/>
  <c r="P104" i="23"/>
  <c r="P101" i="28"/>
  <c r="O20" i="31"/>
  <c r="O26" i="5"/>
  <c r="O21" i="29"/>
  <c r="O25" i="25"/>
  <c r="C18" i="44"/>
  <c r="C19" i="44"/>
  <c r="C20" i="44" s="1"/>
  <c r="C21" i="44" s="1"/>
  <c r="C22" i="44" s="1"/>
  <c r="C23" i="44" s="1"/>
  <c r="C24" i="44"/>
  <c r="C25" i="44" s="1"/>
  <c r="C26" i="44" s="1"/>
  <c r="C27" i="44" s="1"/>
  <c r="C28" i="44" s="1"/>
  <c r="C29" i="44" s="1"/>
  <c r="C30" i="44" s="1"/>
  <c r="C31" i="44" s="1"/>
  <c r="C32" i="44" s="1"/>
  <c r="C33" i="44" s="1"/>
  <c r="C34" i="44" s="1"/>
  <c r="C35" i="44" s="1"/>
  <c r="C36" i="44" s="1"/>
  <c r="C37" i="44" s="1"/>
  <c r="C38" i="44" s="1"/>
  <c r="C39" i="44" s="1"/>
  <c r="C40" i="44" s="1"/>
  <c r="C41" i="44" s="1"/>
  <c r="C42" i="44" s="1"/>
  <c r="C43" i="44" s="1"/>
  <c r="C44" i="44" s="1"/>
  <c r="J95" i="44"/>
  <c r="L86" i="42"/>
  <c r="P125" i="39"/>
  <c r="P101" i="39"/>
  <c r="P119" i="39"/>
  <c r="P101" i="45"/>
  <c r="B28" i="8"/>
  <c r="N88" i="45"/>
  <c r="M87" i="27"/>
  <c r="B109" i="11"/>
  <c r="M87" i="22"/>
  <c r="P99" i="24"/>
  <c r="P140" i="4"/>
  <c r="O17" i="5"/>
  <c r="B103" i="27"/>
  <c r="L86" i="31"/>
  <c r="O18" i="27"/>
  <c r="P101" i="3"/>
  <c r="P153" i="5"/>
  <c r="O17" i="8"/>
  <c r="O18" i="10"/>
  <c r="P99" i="22"/>
  <c r="O20" i="10"/>
  <c r="O44" i="23"/>
  <c r="P125" i="24"/>
  <c r="P101" i="25"/>
  <c r="P104" i="11"/>
  <c r="P103" i="6"/>
  <c r="P99" i="25"/>
  <c r="O25" i="7"/>
  <c r="P104" i="8"/>
  <c r="O18" i="31"/>
  <c r="P104" i="5"/>
  <c r="P99" i="29"/>
  <c r="O18" i="30"/>
  <c r="P100" i="31"/>
  <c r="P104" i="3"/>
  <c r="O21" i="24"/>
  <c r="P103" i="25"/>
  <c r="P100" i="27"/>
  <c r="P103" i="22"/>
  <c r="P106" i="6"/>
  <c r="P106" i="8"/>
  <c r="P101" i="27"/>
  <c r="J92" i="25"/>
  <c r="M87" i="25" s="1"/>
  <c r="J92" i="11"/>
  <c r="N87" i="11" s="1"/>
  <c r="J92" i="39"/>
  <c r="J92" i="10"/>
  <c r="M87" i="10" s="1"/>
  <c r="J92" i="38"/>
  <c r="J92" i="3"/>
  <c r="L86" i="3" s="1"/>
  <c r="O22" i="27"/>
  <c r="O19" i="28"/>
  <c r="O28" i="10"/>
  <c r="O28" i="7"/>
  <c r="P105" i="25"/>
  <c r="O65" i="25"/>
  <c r="O32" i="23"/>
  <c r="O63" i="27"/>
  <c r="P121" i="39"/>
  <c r="P123" i="45"/>
  <c r="F18" i="1"/>
  <c r="P107" i="39"/>
  <c r="O54" i="17"/>
  <c r="C54" i="17"/>
  <c r="I54" i="17"/>
  <c r="F54" i="17"/>
  <c r="N54" i="17"/>
  <c r="E54" i="17"/>
  <c r="D54" i="17"/>
  <c r="F14" i="1" l="1"/>
  <c r="E19" i="1" s="1"/>
  <c r="C28" i="1"/>
  <c r="C76" i="1"/>
  <c r="P105" i="37"/>
  <c r="P121" i="37"/>
  <c r="P123" i="37"/>
  <c r="P127" i="37"/>
  <c r="P129" i="37"/>
  <c r="P111" i="38"/>
  <c r="P117" i="38"/>
  <c r="P100" i="42"/>
  <c r="P106" i="42"/>
  <c r="P114" i="42"/>
  <c r="P118" i="42"/>
  <c r="P126" i="42"/>
  <c r="P130" i="42"/>
  <c r="C59" i="1"/>
  <c r="C82" i="1"/>
  <c r="C8" i="1"/>
  <c r="C77" i="1"/>
  <c r="P100" i="41"/>
  <c r="P106" i="41"/>
  <c r="P110" i="41"/>
  <c r="P114" i="41"/>
  <c r="P124" i="41"/>
  <c r="P128" i="41"/>
  <c r="P103" i="42"/>
  <c r="P109" i="42"/>
  <c r="P117" i="42"/>
  <c r="P119" i="42"/>
  <c r="P123" i="42"/>
  <c r="P125" i="42"/>
  <c r="P127" i="42"/>
  <c r="P129" i="42"/>
  <c r="O20" i="41"/>
  <c r="O65" i="6"/>
  <c r="O67" i="10"/>
  <c r="O31" i="10"/>
  <c r="O47" i="30"/>
  <c r="O61" i="44"/>
  <c r="O50" i="45"/>
  <c r="O52" i="45"/>
  <c r="O56" i="45"/>
  <c r="O72" i="10"/>
  <c r="O34" i="11"/>
  <c r="O71" i="13"/>
  <c r="O69" i="13"/>
  <c r="O67" i="13"/>
  <c r="O63" i="13"/>
  <c r="O59" i="13"/>
  <c r="O57" i="13"/>
  <c r="O55" i="13"/>
  <c r="O53" i="13"/>
  <c r="O47" i="13"/>
  <c r="O39" i="13"/>
  <c r="O41" i="29"/>
  <c r="O49" i="29"/>
  <c r="O55" i="30"/>
  <c r="O42" i="31"/>
  <c r="O24" i="37"/>
  <c r="O48" i="40"/>
  <c r="O21" i="44"/>
  <c r="O23" i="44"/>
  <c r="O25" i="44"/>
  <c r="O27" i="44"/>
  <c r="O41" i="44"/>
  <c r="O45" i="44"/>
  <c r="O51" i="44"/>
  <c r="O53" i="44"/>
  <c r="O55" i="44"/>
  <c r="O65" i="44"/>
  <c r="O69" i="44"/>
  <c r="O71" i="44"/>
  <c r="P106" i="44"/>
  <c r="O59" i="45"/>
  <c r="O63" i="45"/>
  <c r="O65" i="45"/>
  <c r="O67" i="45"/>
  <c r="O69" i="45"/>
  <c r="O71" i="45"/>
  <c r="P100" i="45"/>
  <c r="P102" i="45"/>
  <c r="P108" i="45"/>
  <c r="P112" i="45"/>
  <c r="P114" i="45"/>
  <c r="P124" i="45"/>
  <c r="P130" i="45"/>
  <c r="O63" i="6"/>
  <c r="O47" i="10"/>
  <c r="P100" i="37"/>
  <c r="P102" i="37"/>
  <c r="P106" i="37"/>
  <c r="P112" i="37"/>
  <c r="P114" i="37"/>
  <c r="P120" i="37"/>
  <c r="P128" i="37"/>
  <c r="P113" i="40"/>
  <c r="P117" i="40"/>
  <c r="P119" i="40"/>
  <c r="P121" i="40"/>
  <c r="P123" i="40"/>
  <c r="P125" i="40"/>
  <c r="P129" i="40"/>
  <c r="P107" i="45"/>
  <c r="P111" i="45"/>
  <c r="P113" i="45"/>
  <c r="P115" i="45"/>
  <c r="P119" i="45"/>
  <c r="P121" i="45"/>
  <c r="P125" i="45"/>
  <c r="P127" i="45"/>
  <c r="P129" i="45"/>
  <c r="O42" i="13"/>
  <c r="O34" i="13"/>
  <c r="O30" i="13"/>
  <c r="O25" i="27"/>
  <c r="O33" i="27"/>
  <c r="O35" i="27"/>
  <c r="O37" i="27"/>
  <c r="O39" i="27"/>
  <c r="O47" i="27"/>
  <c r="O59" i="27"/>
  <c r="O61" i="6"/>
  <c r="O27" i="30"/>
  <c r="O35" i="30"/>
  <c r="O39" i="44"/>
  <c r="O71" i="22"/>
  <c r="O29" i="22"/>
  <c r="O70" i="23"/>
  <c r="O68" i="23"/>
  <c r="O66" i="23"/>
  <c r="O64" i="23"/>
  <c r="O62" i="23"/>
  <c r="O60" i="23"/>
  <c r="O54" i="23"/>
  <c r="O50" i="23"/>
  <c r="O48" i="23"/>
  <c r="O42" i="23"/>
  <c r="O34" i="23"/>
  <c r="O30" i="23"/>
  <c r="O26" i="23"/>
  <c r="O72" i="22"/>
  <c r="O66" i="22"/>
  <c r="O58" i="22"/>
  <c r="O54" i="22"/>
  <c r="O52" i="22"/>
  <c r="O50" i="22"/>
  <c r="O46" i="22"/>
  <c r="O36" i="22"/>
  <c r="O32" i="22"/>
  <c r="O30" i="22"/>
  <c r="O50" i="25"/>
  <c r="O42" i="25"/>
  <c r="O68" i="27"/>
  <c r="O23" i="30"/>
  <c r="O29" i="30"/>
  <c r="O33" i="30"/>
  <c r="O37" i="30"/>
  <c r="O39" i="30"/>
  <c r="O43" i="30"/>
  <c r="O45" i="30"/>
  <c r="O49" i="30"/>
  <c r="O51" i="30"/>
  <c r="O53" i="30"/>
  <c r="O61" i="30"/>
  <c r="O63" i="30"/>
  <c r="O69" i="30"/>
  <c r="O62" i="31"/>
  <c r="O35" i="39"/>
  <c r="O37" i="39"/>
  <c r="O41" i="39"/>
  <c r="O57" i="39"/>
  <c r="O20" i="40"/>
  <c r="O24" i="40"/>
  <c r="O26" i="40"/>
  <c r="O28" i="40"/>
  <c r="O32" i="40"/>
  <c r="O34" i="40"/>
  <c r="O36" i="40"/>
  <c r="O38" i="40"/>
  <c r="O40" i="40"/>
  <c r="O42" i="40"/>
  <c r="O50" i="40"/>
  <c r="O52" i="40"/>
  <c r="O54" i="40"/>
  <c r="O56" i="40"/>
  <c r="O66" i="40"/>
  <c r="O70" i="40"/>
  <c r="O41" i="41"/>
  <c r="O43" i="41"/>
  <c r="O45" i="41"/>
  <c r="O47" i="41"/>
  <c r="O49" i="41"/>
  <c r="O53" i="41"/>
  <c r="O57" i="41"/>
  <c r="O59" i="41"/>
  <c r="O61" i="41"/>
  <c r="O63" i="41"/>
  <c r="O65" i="41"/>
  <c r="O69" i="41"/>
  <c r="O71" i="41"/>
  <c r="O40" i="42"/>
  <c r="O25" i="45"/>
  <c r="O27" i="45"/>
  <c r="O29" i="45"/>
  <c r="O31" i="45"/>
  <c r="O35" i="45"/>
  <c r="O37" i="45"/>
  <c r="O39" i="45"/>
  <c r="O41" i="45"/>
  <c r="O43" i="45"/>
  <c r="O45" i="45"/>
  <c r="O47" i="45"/>
  <c r="O49" i="45"/>
  <c r="O69" i="10"/>
  <c r="O65" i="10"/>
  <c r="O55" i="10"/>
  <c r="O51" i="10"/>
  <c r="O45" i="10"/>
  <c r="O43" i="10"/>
  <c r="O41" i="10"/>
  <c r="O33" i="10"/>
  <c r="E18" i="13"/>
  <c r="F18" i="13" s="1"/>
  <c r="D19" i="13" s="1"/>
  <c r="E19" i="13" s="1"/>
  <c r="F19" i="13" s="1"/>
  <c r="O27" i="28"/>
  <c r="O29" i="28"/>
  <c r="O33" i="28"/>
  <c r="O39" i="28"/>
  <c r="O57" i="28"/>
  <c r="O59" i="28"/>
  <c r="O65" i="28"/>
  <c r="O69" i="28"/>
  <c r="O71" i="28"/>
  <c r="O29" i="37"/>
  <c r="O45" i="37"/>
  <c r="O49" i="37"/>
  <c r="O71" i="37"/>
  <c r="O21" i="38"/>
  <c r="O23" i="38"/>
  <c r="O27" i="38"/>
  <c r="O29" i="38"/>
  <c r="O33" i="38"/>
  <c r="O47" i="38"/>
  <c r="O59" i="38"/>
  <c r="O61" i="38"/>
  <c r="O63" i="38"/>
  <c r="O67" i="38"/>
  <c r="O69" i="38"/>
  <c r="O53" i="10"/>
  <c r="O39" i="10"/>
  <c r="O66" i="4"/>
  <c r="O72" i="6"/>
  <c r="O66" i="6"/>
  <c r="O64" i="6"/>
  <c r="O62" i="6"/>
  <c r="O60" i="6"/>
  <c r="O56" i="6"/>
  <c r="O52" i="6"/>
  <c r="O46" i="10"/>
  <c r="O42" i="10"/>
  <c r="O34" i="10"/>
  <c r="O52" i="13"/>
  <c r="O72" i="24"/>
  <c r="O68" i="24"/>
  <c r="O66" i="24"/>
  <c r="O62" i="24"/>
  <c r="O56" i="24"/>
  <c r="O42" i="24"/>
  <c r="O27" i="27"/>
  <c r="O31" i="27"/>
  <c r="O43" i="27"/>
  <c r="O45" i="27"/>
  <c r="O49" i="27"/>
  <c r="O51" i="27"/>
  <c r="O55" i="27"/>
  <c r="O57" i="27"/>
  <c r="O61" i="27"/>
  <c r="O65" i="27"/>
  <c r="O28" i="28"/>
  <c r="O30" i="28"/>
  <c r="O34" i="28"/>
  <c r="O42" i="28"/>
  <c r="O44" i="28"/>
  <c r="O46" i="28"/>
  <c r="O54" i="28"/>
  <c r="O56" i="28"/>
  <c r="O58" i="28"/>
  <c r="O62" i="28"/>
  <c r="O34" i="37"/>
  <c r="O40" i="37"/>
  <c r="O42" i="37"/>
  <c r="O48" i="37"/>
  <c r="O56" i="37"/>
  <c r="O68" i="37"/>
  <c r="O56" i="38"/>
  <c r="O52" i="41"/>
  <c r="O34" i="43"/>
  <c r="O48" i="43"/>
  <c r="O58" i="43"/>
  <c r="O62" i="43"/>
  <c r="O70" i="43"/>
  <c r="O72" i="43"/>
  <c r="O18" i="45"/>
  <c r="O24" i="45"/>
  <c r="O32" i="45"/>
  <c r="O54" i="45"/>
  <c r="O62" i="45"/>
  <c r="O46" i="4"/>
  <c r="O67" i="22"/>
  <c r="O63" i="22"/>
  <c r="O57" i="22"/>
  <c r="O53" i="22"/>
  <c r="O43" i="22"/>
  <c r="O71" i="27"/>
  <c r="O21" i="40"/>
  <c r="O19" i="42"/>
  <c r="O21" i="42"/>
  <c r="O23" i="42"/>
  <c r="O25" i="42"/>
  <c r="O29" i="42"/>
  <c r="O31" i="42"/>
  <c r="O33" i="42"/>
  <c r="O35" i="42"/>
  <c r="O37" i="42"/>
  <c r="O41" i="42"/>
  <c r="O45" i="42"/>
  <c r="O30" i="38"/>
  <c r="O36" i="38"/>
  <c r="O38" i="38"/>
  <c r="O40" i="38"/>
  <c r="O42" i="38"/>
  <c r="O44" i="38"/>
  <c r="O46" i="38"/>
  <c r="O54" i="38"/>
  <c r="O62" i="38"/>
  <c r="E17" i="46"/>
  <c r="F17" i="46" s="1"/>
  <c r="D18" i="46" s="1"/>
  <c r="O48" i="4"/>
  <c r="O69" i="22"/>
  <c r="O65" i="22"/>
  <c r="O61" i="22"/>
  <c r="O55" i="22"/>
  <c r="O47" i="22"/>
  <c r="O45" i="22"/>
  <c r="O41" i="22"/>
  <c r="O37" i="22"/>
  <c r="O33" i="22"/>
  <c r="O72" i="23"/>
  <c r="O19" i="40"/>
  <c r="O23" i="40"/>
  <c r="O27" i="40"/>
  <c r="O45" i="40"/>
  <c r="O55" i="40"/>
  <c r="O60" i="45"/>
  <c r="O66" i="45"/>
  <c r="O87" i="7"/>
  <c r="O31" i="8"/>
  <c r="O71" i="11"/>
  <c r="O67" i="11"/>
  <c r="O72" i="13"/>
  <c r="O66" i="13"/>
  <c r="O64" i="13"/>
  <c r="O62" i="13"/>
  <c r="O50" i="13"/>
  <c r="O48" i="13"/>
  <c r="O46" i="13"/>
  <c r="O44" i="13"/>
  <c r="O44" i="25"/>
  <c r="O43" i="28"/>
  <c r="O51" i="28"/>
  <c r="O39" i="39"/>
  <c r="O53" i="4"/>
  <c r="O67" i="6"/>
  <c r="O59" i="6"/>
  <c r="O57" i="6"/>
  <c r="O55" i="6"/>
  <c r="O41" i="13"/>
  <c r="O24" i="38"/>
  <c r="O26" i="38"/>
  <c r="O28" i="38"/>
  <c r="O32" i="38"/>
  <c r="O50" i="38"/>
  <c r="O52" i="38"/>
  <c r="O58" i="38"/>
  <c r="O60" i="38"/>
  <c r="O43" i="5"/>
  <c r="O43" i="8"/>
  <c r="O53" i="11"/>
  <c r="O59" i="24"/>
  <c r="O34" i="27"/>
  <c r="O44" i="27"/>
  <c r="O56" i="27"/>
  <c r="O55" i="28"/>
  <c r="O27" i="29"/>
  <c r="O33" i="29"/>
  <c r="O37" i="29"/>
  <c r="O39" i="29"/>
  <c r="O43" i="29"/>
  <c r="O45" i="29"/>
  <c r="O57" i="29"/>
  <c r="O28" i="31"/>
  <c r="O45" i="39"/>
  <c r="O44" i="40"/>
  <c r="O58" i="40"/>
  <c r="O60" i="40"/>
  <c r="O35" i="41"/>
  <c r="O55" i="45"/>
  <c r="O40" i="23"/>
  <c r="O69" i="25"/>
  <c r="O55" i="25"/>
  <c r="O51" i="25"/>
  <c r="O49" i="25"/>
  <c r="O29" i="25"/>
  <c r="I13" i="46"/>
  <c r="O65" i="38"/>
  <c r="O68" i="10"/>
  <c r="O62" i="10"/>
  <c r="O60" i="10"/>
  <c r="O58" i="10"/>
  <c r="O52" i="10"/>
  <c r="O38" i="10"/>
  <c r="O36" i="10"/>
  <c r="O65" i="13"/>
  <c r="O40" i="13"/>
  <c r="O36" i="13"/>
  <c r="O26" i="13"/>
  <c r="O22" i="13"/>
  <c r="O20" i="13"/>
  <c r="O18" i="13"/>
  <c r="O64" i="24"/>
  <c r="O29" i="40"/>
  <c r="O31" i="40"/>
  <c r="O37" i="40"/>
  <c r="O47" i="40"/>
  <c r="O49" i="40"/>
  <c r="O53" i="40"/>
  <c r="O57" i="40"/>
  <c r="O59" i="40"/>
  <c r="O61" i="40"/>
  <c r="O65" i="40"/>
  <c r="O68" i="45"/>
  <c r="O70" i="45"/>
  <c r="F19" i="1"/>
  <c r="O68" i="3"/>
  <c r="O66" i="3"/>
  <c r="O62" i="3"/>
  <c r="O60" i="3"/>
  <c r="O47" i="5"/>
  <c r="O45" i="5"/>
  <c r="O37" i="5"/>
  <c r="O33" i="5"/>
  <c r="O29" i="5"/>
  <c r="O72" i="7"/>
  <c r="O56" i="7"/>
  <c r="O50" i="7"/>
  <c r="O63" i="9"/>
  <c r="O59" i="9"/>
  <c r="O33" i="9"/>
  <c r="O63" i="11"/>
  <c r="O59" i="11"/>
  <c r="O57" i="11"/>
  <c r="O49" i="11"/>
  <c r="P117" i="13"/>
  <c r="P101" i="13"/>
  <c r="O63" i="24"/>
  <c r="O45" i="24"/>
  <c r="O39" i="24"/>
  <c r="O35" i="24"/>
  <c r="O41" i="27"/>
  <c r="O58" i="29"/>
  <c r="O62" i="29"/>
  <c r="O64" i="29"/>
  <c r="O68" i="29"/>
  <c r="O46" i="30"/>
  <c r="O48" i="30"/>
  <c r="O39" i="31"/>
  <c r="O45" i="31"/>
  <c r="O59" i="31"/>
  <c r="O65" i="31"/>
  <c r="O67" i="31"/>
  <c r="O69" i="31"/>
  <c r="O60" i="39"/>
  <c r="O64" i="39"/>
  <c r="O32" i="41"/>
  <c r="O57" i="45"/>
  <c r="D94" i="46"/>
  <c r="D92" i="46"/>
  <c r="J96" i="46" s="1"/>
  <c r="D93" i="46"/>
  <c r="F48" i="1"/>
  <c r="F52" i="1" s="1"/>
  <c r="O26" i="45"/>
  <c r="O30" i="45"/>
  <c r="O44" i="6"/>
  <c r="O42" i="6"/>
  <c r="O40" i="6"/>
  <c r="O34" i="6"/>
  <c r="O32" i="6"/>
  <c r="O30" i="6"/>
  <c r="O59" i="7"/>
  <c r="O55" i="7"/>
  <c r="O51" i="7"/>
  <c r="O49" i="7"/>
  <c r="O66" i="8"/>
  <c r="O62" i="8"/>
  <c r="O52" i="8"/>
  <c r="O50" i="8"/>
  <c r="O48" i="8"/>
  <c r="O72" i="9"/>
  <c r="O66" i="9"/>
  <c r="O60" i="9"/>
  <c r="O58" i="9"/>
  <c r="O56" i="9"/>
  <c r="O52" i="9"/>
  <c r="O50" i="9"/>
  <c r="O68" i="11"/>
  <c r="O64" i="11"/>
  <c r="O62" i="11"/>
  <c r="O50" i="11"/>
  <c r="O48" i="11"/>
  <c r="O44" i="11"/>
  <c r="O40" i="11"/>
  <c r="O38" i="11"/>
  <c r="O32" i="11"/>
  <c r="O51" i="13"/>
  <c r="P103" i="43"/>
  <c r="P117" i="43"/>
  <c r="P129" i="43"/>
  <c r="O20" i="43"/>
  <c r="O22" i="43"/>
  <c r="O24" i="43"/>
  <c r="O30" i="43"/>
  <c r="O32" i="43"/>
  <c r="O38" i="43"/>
  <c r="O40" i="43"/>
  <c r="O44" i="43"/>
  <c r="O46" i="43"/>
  <c r="M87" i="43"/>
  <c r="O20" i="39"/>
  <c r="O22" i="39"/>
  <c r="O26" i="39"/>
  <c r="O28" i="39"/>
  <c r="O38" i="39"/>
  <c r="O40" i="39"/>
  <c r="O42" i="39"/>
  <c r="O46" i="39"/>
  <c r="O50" i="39"/>
  <c r="O66" i="39"/>
  <c r="O68" i="39"/>
  <c r="O70" i="39"/>
  <c r="O71" i="39"/>
  <c r="O18" i="38"/>
  <c r="O37" i="38"/>
  <c r="O39" i="38"/>
  <c r="O41" i="38"/>
  <c r="O24" i="31"/>
  <c r="O32" i="31"/>
  <c r="O34" i="31"/>
  <c r="O36" i="31"/>
  <c r="O38" i="31"/>
  <c r="O40" i="31"/>
  <c r="O44" i="31"/>
  <c r="O46" i="31"/>
  <c r="O48" i="31"/>
  <c r="O52" i="31"/>
  <c r="O54" i="31"/>
  <c r="O56" i="31"/>
  <c r="O60" i="31"/>
  <c r="O64" i="31"/>
  <c r="O66" i="31"/>
  <c r="O68" i="31"/>
  <c r="O70" i="31"/>
  <c r="O72" i="31"/>
  <c r="O19" i="30"/>
  <c r="O17" i="30"/>
  <c r="O59" i="29"/>
  <c r="O61" i="29"/>
  <c r="O63" i="29"/>
  <c r="O67" i="29"/>
  <c r="O69" i="29"/>
  <c r="O71" i="29"/>
  <c r="O25" i="29"/>
  <c r="O19" i="29"/>
  <c r="O31" i="28"/>
  <c r="O67" i="28"/>
  <c r="O20" i="28"/>
  <c r="O41" i="28"/>
  <c r="O49" i="28"/>
  <c r="O53" i="28"/>
  <c r="O20" i="27"/>
  <c r="O24" i="25"/>
  <c r="O23" i="25"/>
  <c r="O18" i="24"/>
  <c r="O17" i="24"/>
  <c r="O71" i="24"/>
  <c r="O69" i="24"/>
  <c r="O67" i="24"/>
  <c r="O65" i="24"/>
  <c r="O61" i="24"/>
  <c r="O55" i="24"/>
  <c r="O53" i="24"/>
  <c r="O51" i="24"/>
  <c r="O49" i="24"/>
  <c r="O47" i="24"/>
  <c r="O37" i="24"/>
  <c r="O33" i="24"/>
  <c r="O31" i="24"/>
  <c r="O29" i="24"/>
  <c r="O27" i="24"/>
  <c r="O21" i="23"/>
  <c r="O39" i="23"/>
  <c r="O27" i="22"/>
  <c r="O25" i="22"/>
  <c r="O24" i="10"/>
  <c r="O21" i="10"/>
  <c r="O29" i="10"/>
  <c r="O20" i="9"/>
  <c r="O27" i="9"/>
  <c r="O26" i="9"/>
  <c r="O26" i="8"/>
  <c r="O47" i="7"/>
  <c r="O35" i="7"/>
  <c r="O20" i="7"/>
  <c r="O21" i="7"/>
  <c r="O43" i="6"/>
  <c r="O20" i="6"/>
  <c r="O26" i="6"/>
  <c r="O27" i="6"/>
  <c r="O21" i="6"/>
  <c r="O19" i="6"/>
  <c r="O24" i="5"/>
  <c r="O26" i="4"/>
  <c r="M87" i="4"/>
  <c r="O72" i="4"/>
  <c r="O70" i="4"/>
  <c r="O68" i="4"/>
  <c r="O64" i="4"/>
  <c r="O62" i="4"/>
  <c r="O58" i="4"/>
  <c r="O52" i="4"/>
  <c r="O50" i="4"/>
  <c r="O44" i="4"/>
  <c r="O36" i="4"/>
  <c r="O34" i="4"/>
  <c r="O19" i="4"/>
  <c r="O71" i="4"/>
  <c r="O69" i="4"/>
  <c r="O65" i="4"/>
  <c r="O63" i="4"/>
  <c r="O43" i="4"/>
  <c r="O39" i="4"/>
  <c r="O37" i="4"/>
  <c r="O35" i="4"/>
  <c r="O33" i="4"/>
  <c r="O29" i="4"/>
  <c r="O25" i="3"/>
  <c r="J95" i="38"/>
  <c r="P143" i="7"/>
  <c r="P141" i="7"/>
  <c r="P131" i="7"/>
  <c r="P115" i="7"/>
  <c r="P131" i="10"/>
  <c r="P127" i="10"/>
  <c r="P117" i="10"/>
  <c r="P111" i="11"/>
  <c r="P128" i="13"/>
  <c r="P126" i="13"/>
  <c r="P124" i="13"/>
  <c r="P120" i="13"/>
  <c r="P112" i="13"/>
  <c r="P104" i="13"/>
  <c r="P104" i="31"/>
  <c r="P108" i="31"/>
  <c r="P110" i="31"/>
  <c r="P112" i="31"/>
  <c r="P114" i="31"/>
  <c r="P118" i="31"/>
  <c r="P122" i="31"/>
  <c r="P126" i="31"/>
  <c r="P109" i="37"/>
  <c r="P113" i="37"/>
  <c r="P125" i="37"/>
  <c r="P103" i="38"/>
  <c r="P119" i="44"/>
  <c r="P127" i="5"/>
  <c r="P123" i="5"/>
  <c r="P152" i="6"/>
  <c r="P150" i="6"/>
  <c r="P148" i="6"/>
  <c r="P146" i="6"/>
  <c r="P144" i="6"/>
  <c r="P142" i="6"/>
  <c r="P140" i="6"/>
  <c r="P138" i="6"/>
  <c r="P136" i="6"/>
  <c r="P132" i="6"/>
  <c r="P128" i="6"/>
  <c r="P126" i="6"/>
  <c r="P124" i="6"/>
  <c r="P122" i="6"/>
  <c r="P120" i="6"/>
  <c r="P118" i="6"/>
  <c r="P114" i="6"/>
  <c r="P112" i="6"/>
  <c r="P110" i="6"/>
  <c r="P153" i="8"/>
  <c r="P151" i="8"/>
  <c r="P147" i="8"/>
  <c r="P145" i="8"/>
  <c r="P143" i="8"/>
  <c r="P141" i="8"/>
  <c r="P139" i="8"/>
  <c r="P135" i="8"/>
  <c r="P133" i="8"/>
  <c r="P131" i="8"/>
  <c r="P129" i="8"/>
  <c r="P124" i="10"/>
  <c r="P120" i="10"/>
  <c r="P118" i="10"/>
  <c r="P114" i="10"/>
  <c r="P112" i="10"/>
  <c r="P124" i="11"/>
  <c r="P118" i="11"/>
  <c r="P116" i="11"/>
  <c r="P114" i="11"/>
  <c r="P110" i="11"/>
  <c r="P126" i="22"/>
  <c r="P124" i="22"/>
  <c r="P120" i="22"/>
  <c r="P118" i="22"/>
  <c r="P114" i="22"/>
  <c r="P108" i="22"/>
  <c r="P110" i="24"/>
  <c r="P108" i="24"/>
  <c r="P106" i="24"/>
  <c r="J95" i="46"/>
  <c r="P104" i="29"/>
  <c r="P106" i="29"/>
  <c r="P108" i="29"/>
  <c r="P112" i="29"/>
  <c r="P114" i="29"/>
  <c r="P116" i="29"/>
  <c r="P118" i="29"/>
  <c r="P120" i="29"/>
  <c r="P122" i="29"/>
  <c r="P124" i="29"/>
  <c r="P128" i="29"/>
  <c r="P130" i="29"/>
  <c r="P104" i="30"/>
  <c r="P108" i="30"/>
  <c r="P116" i="30"/>
  <c r="P122" i="30"/>
  <c r="P126" i="30"/>
  <c r="P128" i="30"/>
  <c r="P130" i="30"/>
  <c r="P108" i="38"/>
  <c r="P112" i="38"/>
  <c r="P116" i="38"/>
  <c r="P122" i="38"/>
  <c r="P124" i="38"/>
  <c r="P130" i="38"/>
  <c r="P104" i="40"/>
  <c r="P106" i="40"/>
  <c r="P112" i="40"/>
  <c r="P116" i="40"/>
  <c r="P128" i="40"/>
  <c r="P117" i="41"/>
  <c r="P128" i="44"/>
  <c r="O64" i="45"/>
  <c r="O72" i="45"/>
  <c r="P99" i="45"/>
  <c r="P103" i="45"/>
  <c r="O18" i="44"/>
  <c r="O32" i="44"/>
  <c r="O38" i="44"/>
  <c r="O48" i="44"/>
  <c r="O52" i="44"/>
  <c r="O56" i="44"/>
  <c r="O68" i="44"/>
  <c r="O59" i="44"/>
  <c r="P100" i="44"/>
  <c r="P104" i="44"/>
  <c r="P108" i="44"/>
  <c r="P112" i="44"/>
  <c r="P122" i="44"/>
  <c r="P126" i="44"/>
  <c r="O20" i="44"/>
  <c r="O24" i="44"/>
  <c r="O30" i="44"/>
  <c r="O36" i="44"/>
  <c r="O40" i="44"/>
  <c r="O50" i="44"/>
  <c r="O54" i="44"/>
  <c r="O58" i="44"/>
  <c r="O64" i="44"/>
  <c r="O70" i="44"/>
  <c r="P99" i="43"/>
  <c r="P115" i="43"/>
  <c r="P119" i="43"/>
  <c r="P121" i="43"/>
  <c r="P125" i="43"/>
  <c r="C45" i="42"/>
  <c r="C46" i="42" s="1"/>
  <c r="C47" i="42" s="1"/>
  <c r="C48" i="42" s="1"/>
  <c r="C49" i="42" s="1"/>
  <c r="C50" i="42" s="1"/>
  <c r="C51" i="42" s="1"/>
  <c r="C52" i="42" s="1"/>
  <c r="C53" i="42" s="1"/>
  <c r="C54" i="42" s="1"/>
  <c r="C55" i="42" s="1"/>
  <c r="C56" i="42" s="1"/>
  <c r="C57" i="42" s="1"/>
  <c r="C58" i="42" s="1"/>
  <c r="C59" i="42" s="1"/>
  <c r="C60" i="42" s="1"/>
  <c r="C61" i="42" s="1"/>
  <c r="C62" i="42" s="1"/>
  <c r="C63" i="42" s="1"/>
  <c r="C64" i="42" s="1"/>
  <c r="C65" i="42" s="1"/>
  <c r="C66" i="42" s="1"/>
  <c r="C67" i="42" s="1"/>
  <c r="C68" i="42" s="1"/>
  <c r="C69" i="42" s="1"/>
  <c r="C70" i="42" s="1"/>
  <c r="C71" i="42" s="1"/>
  <c r="C72" i="42" s="1"/>
  <c r="M87" i="42"/>
  <c r="N87" i="42"/>
  <c r="O38" i="42"/>
  <c r="O56" i="42"/>
  <c r="O58" i="42"/>
  <c r="O60" i="42"/>
  <c r="O62" i="42"/>
  <c r="O64" i="42"/>
  <c r="O68" i="42"/>
  <c r="O70" i="42"/>
  <c r="O72" i="42"/>
  <c r="O39" i="42"/>
  <c r="O43" i="42"/>
  <c r="O53" i="42"/>
  <c r="O55" i="42"/>
  <c r="P107" i="41"/>
  <c r="P127" i="41"/>
  <c r="P129" i="41"/>
  <c r="P99" i="41"/>
  <c r="P101" i="41"/>
  <c r="P103" i="41"/>
  <c r="P105" i="41"/>
  <c r="P109" i="41"/>
  <c r="P111" i="41"/>
  <c r="P113" i="41"/>
  <c r="P115" i="41"/>
  <c r="P119" i="41"/>
  <c r="P121" i="41"/>
  <c r="P125" i="41"/>
  <c r="P105" i="39"/>
  <c r="P109" i="39"/>
  <c r="P111" i="39"/>
  <c r="P113" i="39"/>
  <c r="P117" i="39"/>
  <c r="O30" i="39"/>
  <c r="O52" i="39"/>
  <c r="O56" i="39"/>
  <c r="O58" i="39"/>
  <c r="O62" i="39"/>
  <c r="O21" i="39"/>
  <c r="O31" i="39"/>
  <c r="O33" i="39"/>
  <c r="O43" i="39"/>
  <c r="O47" i="39"/>
  <c r="O59" i="39"/>
  <c r="O65" i="39"/>
  <c r="M87" i="31"/>
  <c r="O87" i="31" s="1"/>
  <c r="M87" i="24"/>
  <c r="N87" i="4"/>
  <c r="L86" i="23"/>
  <c r="L86" i="7"/>
  <c r="P100" i="43"/>
  <c r="P104" i="43"/>
  <c r="P108" i="43"/>
  <c r="P112" i="43"/>
  <c r="P116" i="43"/>
  <c r="P120" i="43"/>
  <c r="P124" i="43"/>
  <c r="P128" i="43"/>
  <c r="P101" i="44"/>
  <c r="P115" i="44"/>
  <c r="P108" i="40"/>
  <c r="P118" i="43"/>
  <c r="P107" i="38"/>
  <c r="P109" i="38"/>
  <c r="P113" i="38"/>
  <c r="P115" i="38"/>
  <c r="P119" i="38"/>
  <c r="P101" i="43"/>
  <c r="P105" i="43"/>
  <c r="P107" i="43"/>
  <c r="P109" i="43"/>
  <c r="P111" i="43"/>
  <c r="P127" i="43"/>
  <c r="P102" i="44"/>
  <c r="N87" i="43"/>
  <c r="O87" i="43" s="1"/>
  <c r="L86" i="43"/>
  <c r="M87" i="11"/>
  <c r="O87" i="11" s="1"/>
  <c r="O36" i="45"/>
  <c r="O42" i="45"/>
  <c r="O46" i="45"/>
  <c r="O31" i="44"/>
  <c r="O35" i="44"/>
  <c r="O37" i="44"/>
  <c r="O47" i="44"/>
  <c r="O57" i="44"/>
  <c r="O67" i="44"/>
  <c r="O26" i="43"/>
  <c r="O28" i="43"/>
  <c r="O36" i="43"/>
  <c r="O50" i="43"/>
  <c r="O52" i="43"/>
  <c r="O54" i="43"/>
  <c r="O60" i="43"/>
  <c r="O64" i="43"/>
  <c r="O66" i="43"/>
  <c r="O68" i="43"/>
  <c r="O19" i="43"/>
  <c r="O21" i="43"/>
  <c r="O23" i="43"/>
  <c r="O27" i="43"/>
  <c r="O29" i="43"/>
  <c r="O31" i="43"/>
  <c r="O33" i="43"/>
  <c r="O35" i="43"/>
  <c r="O39" i="43"/>
  <c r="O41" i="43"/>
  <c r="O43" i="43"/>
  <c r="O45" i="43"/>
  <c r="O49" i="43"/>
  <c r="O51" i="43"/>
  <c r="O53" i="43"/>
  <c r="O55" i="43"/>
  <c r="O57" i="43"/>
  <c r="O59" i="43"/>
  <c r="O61" i="43"/>
  <c r="O63" i="43"/>
  <c r="O67" i="43"/>
  <c r="O69" i="43"/>
  <c r="O71" i="43"/>
  <c r="O20" i="42"/>
  <c r="O26" i="42"/>
  <c r="O28" i="42"/>
  <c r="O30" i="42"/>
  <c r="O32" i="42"/>
  <c r="O34" i="42"/>
  <c r="O36" i="42"/>
  <c r="O44" i="42"/>
  <c r="O48" i="42"/>
  <c r="O50" i="42"/>
  <c r="O52" i="42"/>
  <c r="O54" i="42"/>
  <c r="O57" i="42"/>
  <c r="O59" i="42"/>
  <c r="O61" i="42"/>
  <c r="O63" i="42"/>
  <c r="O65" i="42"/>
  <c r="O67" i="42"/>
  <c r="O69" i="42"/>
  <c r="O71" i="42"/>
  <c r="O27" i="42"/>
  <c r="O24" i="41"/>
  <c r="O26" i="41"/>
  <c r="O28" i="41"/>
  <c r="O34" i="41"/>
  <c r="O36" i="41"/>
  <c r="O38" i="41"/>
  <c r="O44" i="41"/>
  <c r="O46" i="41"/>
  <c r="O48" i="41"/>
  <c r="O50" i="41"/>
  <c r="O54" i="41"/>
  <c r="O56" i="41"/>
  <c r="O58" i="41"/>
  <c r="O60" i="41"/>
  <c r="O62" i="41"/>
  <c r="O64" i="41"/>
  <c r="O68" i="41"/>
  <c r="O62" i="40"/>
  <c r="O35" i="40"/>
  <c r="O51" i="40"/>
  <c r="O23" i="39"/>
  <c r="O29" i="39"/>
  <c r="O51" i="39"/>
  <c r="O54" i="39"/>
  <c r="O71" i="38"/>
  <c r="P126" i="38"/>
  <c r="P128" i="38"/>
  <c r="O31" i="38"/>
  <c r="O53" i="38"/>
  <c r="O57" i="38"/>
  <c r="O20" i="38"/>
  <c r="O22" i="38"/>
  <c r="O48" i="38"/>
  <c r="O68" i="38"/>
  <c r="O70" i="38"/>
  <c r="O21" i="37"/>
  <c r="O27" i="37"/>
  <c r="O33" i="37"/>
  <c r="O35" i="37"/>
  <c r="O37" i="37"/>
  <c r="O39" i="37"/>
  <c r="O41" i="37"/>
  <c r="O43" i="37"/>
  <c r="O47" i="37"/>
  <c r="O55" i="37"/>
  <c r="O57" i="37"/>
  <c r="O59" i="37"/>
  <c r="O69" i="37"/>
  <c r="P117" i="37"/>
  <c r="O63" i="37"/>
  <c r="O65" i="37"/>
  <c r="O25" i="31"/>
  <c r="O27" i="31"/>
  <c r="O29" i="31"/>
  <c r="O33" i="31"/>
  <c r="O37" i="31"/>
  <c r="O47" i="31"/>
  <c r="O49" i="31"/>
  <c r="O55" i="31"/>
  <c r="P109" i="31"/>
  <c r="P115" i="31"/>
  <c r="P119" i="31"/>
  <c r="P121" i="31"/>
  <c r="P123" i="31"/>
  <c r="P112" i="30"/>
  <c r="P124" i="30"/>
  <c r="P100" i="30"/>
  <c r="P102" i="30"/>
  <c r="P118" i="30"/>
  <c r="O22" i="30"/>
  <c r="O24" i="30"/>
  <c r="O30" i="30"/>
  <c r="O34" i="30"/>
  <c r="O38" i="30"/>
  <c r="O40" i="30"/>
  <c r="O42" i="30"/>
  <c r="O44" i="30"/>
  <c r="O52" i="30"/>
  <c r="O54" i="30"/>
  <c r="O56" i="30"/>
  <c r="O58" i="30"/>
  <c r="O60" i="30"/>
  <c r="O62" i="30"/>
  <c r="O64" i="30"/>
  <c r="O66" i="30"/>
  <c r="O68" i="30"/>
  <c r="O70" i="30"/>
  <c r="P105" i="29"/>
  <c r="P107" i="29"/>
  <c r="P127" i="29"/>
  <c r="O34" i="29"/>
  <c r="O36" i="29"/>
  <c r="O38" i="29"/>
  <c r="O42" i="29"/>
  <c r="O44" i="29"/>
  <c r="O48" i="29"/>
  <c r="O50" i="29"/>
  <c r="O52" i="29"/>
  <c r="O54" i="29"/>
  <c r="P111" i="28"/>
  <c r="P123" i="28"/>
  <c r="P127" i="28"/>
  <c r="P116" i="28"/>
  <c r="P120" i="28"/>
  <c r="P124" i="28"/>
  <c r="P128" i="28"/>
  <c r="O40" i="28"/>
  <c r="O52" i="28"/>
  <c r="O72" i="28"/>
  <c r="O24" i="27"/>
  <c r="O26" i="27"/>
  <c r="O30" i="27"/>
  <c r="O32" i="27"/>
  <c r="O36" i="27"/>
  <c r="O38" i="27"/>
  <c r="O40" i="27"/>
  <c r="O42" i="27"/>
  <c r="O46" i="27"/>
  <c r="O48" i="27"/>
  <c r="O52" i="27"/>
  <c r="O54" i="27"/>
  <c r="O58" i="27"/>
  <c r="O60" i="27"/>
  <c r="O62" i="27"/>
  <c r="O64" i="27"/>
  <c r="O66" i="27"/>
  <c r="P113" i="27"/>
  <c r="P115" i="27"/>
  <c r="P121" i="27"/>
  <c r="P122" i="27"/>
  <c r="P126" i="27"/>
  <c r="P130" i="27"/>
  <c r="O62" i="25"/>
  <c r="O60" i="25"/>
  <c r="O58" i="25"/>
  <c r="O56" i="25"/>
  <c r="O52" i="25"/>
  <c r="O48" i="25"/>
  <c r="O40" i="25"/>
  <c r="O38" i="25"/>
  <c r="O36" i="25"/>
  <c r="O30" i="25"/>
  <c r="O28" i="25"/>
  <c r="O67" i="25"/>
  <c r="O59" i="25"/>
  <c r="O57" i="25"/>
  <c r="O53" i="25"/>
  <c r="O47" i="25"/>
  <c r="O41" i="25"/>
  <c r="O33" i="25"/>
  <c r="O31" i="25"/>
  <c r="P127" i="25"/>
  <c r="P125" i="25"/>
  <c r="P123" i="25"/>
  <c r="P121" i="25"/>
  <c r="P117" i="25"/>
  <c r="P115" i="25"/>
  <c r="P130" i="25"/>
  <c r="P126" i="25"/>
  <c r="P124" i="25"/>
  <c r="P122" i="25"/>
  <c r="P120" i="25"/>
  <c r="P116" i="25"/>
  <c r="P112" i="25"/>
  <c r="P110" i="25"/>
  <c r="P108" i="25"/>
  <c r="P109" i="25"/>
  <c r="O68" i="25"/>
  <c r="O66" i="25"/>
  <c r="O46" i="25"/>
  <c r="P127" i="24"/>
  <c r="P123" i="24"/>
  <c r="P121" i="24"/>
  <c r="P117" i="24"/>
  <c r="P115" i="24"/>
  <c r="P128" i="24"/>
  <c r="P126" i="24"/>
  <c r="P124" i="24"/>
  <c r="P122" i="24"/>
  <c r="P120" i="24"/>
  <c r="P118" i="24"/>
  <c r="P116" i="24"/>
  <c r="P114" i="24"/>
  <c r="P112" i="24"/>
  <c r="P109" i="24"/>
  <c r="P129" i="24"/>
  <c r="P113" i="24"/>
  <c r="O41" i="24"/>
  <c r="O32" i="24"/>
  <c r="O69" i="23"/>
  <c r="O67" i="23"/>
  <c r="O59" i="23"/>
  <c r="O57" i="23"/>
  <c r="O53" i="23"/>
  <c r="O49" i="23"/>
  <c r="O47" i="23"/>
  <c r="O45" i="23"/>
  <c r="O37" i="23"/>
  <c r="O35" i="23"/>
  <c r="O27" i="23"/>
  <c r="O87" i="23"/>
  <c r="O38" i="23"/>
  <c r="O41" i="23"/>
  <c r="P125" i="22"/>
  <c r="O43" i="11"/>
  <c r="O72" i="11"/>
  <c r="O70" i="11"/>
  <c r="O66" i="11"/>
  <c r="O56" i="11"/>
  <c r="O54" i="11"/>
  <c r="O46" i="11"/>
  <c r="O36" i="11"/>
  <c r="O69" i="11"/>
  <c r="O65" i="11"/>
  <c r="O61" i="11"/>
  <c r="O55" i="11"/>
  <c r="O45" i="11"/>
  <c r="O37" i="11"/>
  <c r="P136" i="10"/>
  <c r="P115" i="10"/>
  <c r="P113" i="10"/>
  <c r="P111" i="10"/>
  <c r="O71" i="10"/>
  <c r="O63" i="10"/>
  <c r="O61" i="10"/>
  <c r="O59" i="10"/>
  <c r="O57" i="10"/>
  <c r="O49" i="10"/>
  <c r="O37" i="10"/>
  <c r="O35" i="10"/>
  <c r="O57" i="9"/>
  <c r="P110" i="9"/>
  <c r="P129" i="9"/>
  <c r="P125" i="9"/>
  <c r="P121" i="9"/>
  <c r="P117" i="9"/>
  <c r="P111" i="9"/>
  <c r="O46" i="9"/>
  <c r="O44" i="9"/>
  <c r="O42" i="9"/>
  <c r="O40" i="9"/>
  <c r="O38" i="9"/>
  <c r="O30" i="9"/>
  <c r="O67" i="9"/>
  <c r="O65" i="9"/>
  <c r="O55" i="9"/>
  <c r="O49" i="9"/>
  <c r="O37" i="9"/>
  <c r="O35" i="9"/>
  <c r="P110" i="8"/>
  <c r="P121" i="8"/>
  <c r="P119" i="8"/>
  <c r="P117" i="8"/>
  <c r="P115" i="8"/>
  <c r="P113" i="8"/>
  <c r="P111" i="8"/>
  <c r="P123" i="8"/>
  <c r="O71" i="8"/>
  <c r="O67" i="8"/>
  <c r="O65" i="8"/>
  <c r="O59" i="8"/>
  <c r="O57" i="8"/>
  <c r="O45" i="8"/>
  <c r="O41" i="8"/>
  <c r="O39" i="8"/>
  <c r="O35" i="8"/>
  <c r="O33" i="8"/>
  <c r="O29" i="8"/>
  <c r="O63" i="8"/>
  <c r="O61" i="8"/>
  <c r="O55" i="8"/>
  <c r="O53" i="8"/>
  <c r="O49" i="8"/>
  <c r="O47" i="8"/>
  <c r="P147" i="7"/>
  <c r="P145" i="7"/>
  <c r="P137" i="7"/>
  <c r="P135" i="7"/>
  <c r="P133" i="7"/>
  <c r="P127" i="7"/>
  <c r="P123" i="7"/>
  <c r="P111" i="7"/>
  <c r="P148" i="7"/>
  <c r="P144" i="7"/>
  <c r="P142" i="7"/>
  <c r="P136" i="7"/>
  <c r="P130" i="7"/>
  <c r="P128" i="7"/>
  <c r="P112" i="7"/>
  <c r="O66" i="7"/>
  <c r="O38" i="7"/>
  <c r="O51" i="6"/>
  <c r="O31" i="6"/>
  <c r="O29" i="6"/>
  <c r="P117" i="6"/>
  <c r="P113" i="6"/>
  <c r="O54" i="6"/>
  <c r="P133" i="5"/>
  <c r="P129" i="5"/>
  <c r="P121" i="5"/>
  <c r="P151" i="5"/>
  <c r="P147" i="5"/>
  <c r="P143" i="5"/>
  <c r="O41" i="5"/>
  <c r="O69" i="3"/>
  <c r="O63" i="3"/>
  <c r="O55" i="3"/>
  <c r="O51" i="3"/>
  <c r="O45" i="3"/>
  <c r="O43" i="3"/>
  <c r="O35" i="3"/>
  <c r="O50" i="3"/>
  <c r="O42" i="3"/>
  <c r="O40" i="3"/>
  <c r="P147" i="4"/>
  <c r="P145" i="4"/>
  <c r="P139" i="4"/>
  <c r="P137" i="4"/>
  <c r="P115" i="4"/>
  <c r="O30" i="4"/>
  <c r="O28" i="4"/>
  <c r="P154" i="3"/>
  <c r="O71" i="3"/>
  <c r="O67" i="3"/>
  <c r="O65" i="3"/>
  <c r="O61" i="3"/>
  <c r="O59" i="3"/>
  <c r="O53" i="3"/>
  <c r="O23" i="41"/>
  <c r="I10" i="38"/>
  <c r="D93" i="38" s="1"/>
  <c r="C99" i="38" s="1"/>
  <c r="C100" i="38" s="1"/>
  <c r="C101" i="38" s="1"/>
  <c r="C102" i="38" s="1"/>
  <c r="C103" i="38" s="1"/>
  <c r="C104" i="38" s="1"/>
  <c r="C105" i="38" s="1"/>
  <c r="C106" i="38" s="1"/>
  <c r="C107" i="38" s="1"/>
  <c r="C108" i="38" s="1"/>
  <c r="C109" i="38" s="1"/>
  <c r="C110" i="38" s="1"/>
  <c r="C111" i="38" s="1"/>
  <c r="C112" i="38" s="1"/>
  <c r="C113" i="38" s="1"/>
  <c r="C114" i="38" s="1"/>
  <c r="C115" i="38" s="1"/>
  <c r="C116" i="38" s="1"/>
  <c r="C117" i="38" s="1"/>
  <c r="C118" i="38" s="1"/>
  <c r="C119" i="38" s="1"/>
  <c r="C120" i="38" s="1"/>
  <c r="C121" i="38" s="1"/>
  <c r="C122" i="38" s="1"/>
  <c r="C123" i="38" s="1"/>
  <c r="C124" i="38" s="1"/>
  <c r="C125" i="38" s="1"/>
  <c r="C126" i="38" s="1"/>
  <c r="C127" i="38" s="1"/>
  <c r="C128" i="38" s="1"/>
  <c r="C129" i="38" s="1"/>
  <c r="C130" i="38" s="1"/>
  <c r="C131" i="38" s="1"/>
  <c r="C132" i="38" s="1"/>
  <c r="C133" i="38" s="1"/>
  <c r="C134" i="38" s="1"/>
  <c r="C135" i="38" s="1"/>
  <c r="C136" i="38" s="1"/>
  <c r="C137" i="38" s="1"/>
  <c r="C138" i="38" s="1"/>
  <c r="C139" i="38" s="1"/>
  <c r="C140" i="38" s="1"/>
  <c r="C141" i="38" s="1"/>
  <c r="C142" i="38" s="1"/>
  <c r="C143" i="38" s="1"/>
  <c r="C144" i="38" s="1"/>
  <c r="C145" i="38" s="1"/>
  <c r="C146" i="38" s="1"/>
  <c r="C147" i="38" s="1"/>
  <c r="C148" i="38" s="1"/>
  <c r="C149" i="38" s="1"/>
  <c r="C150" i="38" s="1"/>
  <c r="C151" i="38" s="1"/>
  <c r="C152" i="38" s="1"/>
  <c r="C153" i="38" s="1"/>
  <c r="C154" i="38" s="1"/>
  <c r="I10" i="23"/>
  <c r="O49" i="3"/>
  <c r="O56" i="3"/>
  <c r="O36" i="9"/>
  <c r="O60" i="13"/>
  <c r="O56" i="13"/>
  <c r="O54" i="13"/>
  <c r="O37" i="13"/>
  <c r="O35" i="13"/>
  <c r="O33" i="13"/>
  <c r="O29" i="13"/>
  <c r="O23" i="13"/>
  <c r="O21" i="13"/>
  <c r="O19" i="13"/>
  <c r="O17" i="13"/>
  <c r="O63" i="25"/>
  <c r="O25" i="40"/>
  <c r="O43" i="40"/>
  <c r="O63" i="40"/>
  <c r="O67" i="40"/>
  <c r="O69" i="40"/>
  <c r="O71" i="40"/>
  <c r="O19" i="41"/>
  <c r="O21" i="41"/>
  <c r="O29" i="41"/>
  <c r="O37" i="41"/>
  <c r="O39" i="41"/>
  <c r="O51" i="41"/>
  <c r="O55" i="41"/>
  <c r="O70" i="6"/>
  <c r="O53" i="6"/>
  <c r="O46" i="6"/>
  <c r="O71" i="7"/>
  <c r="O41" i="7"/>
  <c r="O33" i="7"/>
  <c r="O31" i="7"/>
  <c r="O69" i="8"/>
  <c r="O71" i="9"/>
  <c r="O47" i="9"/>
  <c r="O51" i="11"/>
  <c r="O23" i="28"/>
  <c r="O35" i="28"/>
  <c r="O37" i="28"/>
  <c r="O47" i="28"/>
  <c r="O25" i="30"/>
  <c r="O31" i="30"/>
  <c r="O41" i="30"/>
  <c r="O57" i="30"/>
  <c r="O59" i="30"/>
  <c r="P104" i="38"/>
  <c r="O47" i="42"/>
  <c r="O39" i="3"/>
  <c r="O37" i="3"/>
  <c r="O33" i="3"/>
  <c r="O31" i="3"/>
  <c r="O29" i="3"/>
  <c r="O56" i="4"/>
  <c r="O54" i="4"/>
  <c r="O42" i="4"/>
  <c r="O32" i="4"/>
  <c r="O38" i="5"/>
  <c r="O69" i="6"/>
  <c r="O70" i="7"/>
  <c r="O68" i="7"/>
  <c r="O60" i="7"/>
  <c r="O54" i="7"/>
  <c r="O48" i="7"/>
  <c r="O46" i="7"/>
  <c r="O44" i="7"/>
  <c r="O42" i="7"/>
  <c r="O40" i="7"/>
  <c r="O34" i="7"/>
  <c r="O32" i="7"/>
  <c r="O72" i="8"/>
  <c r="O46" i="8"/>
  <c r="O44" i="8"/>
  <c r="O42" i="8"/>
  <c r="O40" i="8"/>
  <c r="O36" i="8"/>
  <c r="O34" i="8"/>
  <c r="O32" i="8"/>
  <c r="O30" i="8"/>
  <c r="O41" i="11"/>
  <c r="O39" i="11"/>
  <c r="P116" i="13"/>
  <c r="P114" i="13"/>
  <c r="P108" i="13"/>
  <c r="P102" i="13"/>
  <c r="O32" i="13"/>
  <c r="O28" i="13"/>
  <c r="O24" i="13"/>
  <c r="O64" i="22"/>
  <c r="O62" i="22"/>
  <c r="O60" i="22"/>
  <c r="O56" i="22"/>
  <c r="O44" i="22"/>
  <c r="O42" i="22"/>
  <c r="O38" i="22"/>
  <c r="O26" i="22"/>
  <c r="O65" i="23"/>
  <c r="O61" i="23"/>
  <c r="O43" i="23"/>
  <c r="O36" i="23"/>
  <c r="O58" i="24"/>
  <c r="O54" i="24"/>
  <c r="O64" i="25"/>
  <c r="O70" i="27"/>
  <c r="O24" i="28"/>
  <c r="O53" i="31"/>
  <c r="O63" i="31"/>
  <c r="O62" i="44"/>
  <c r="O66" i="44"/>
  <c r="P109" i="44"/>
  <c r="P129" i="44"/>
  <c r="O21" i="45"/>
  <c r="O23" i="45"/>
  <c r="I10" i="28"/>
  <c r="I10" i="29"/>
  <c r="I10" i="9"/>
  <c r="I10" i="11"/>
  <c r="I10" i="3"/>
  <c r="I10" i="42"/>
  <c r="I10" i="7"/>
  <c r="D94" i="7" s="1"/>
  <c r="A4" i="1"/>
  <c r="I10" i="13"/>
  <c r="I10" i="10"/>
  <c r="D93" i="10" s="1"/>
  <c r="C99" i="10" s="1"/>
  <c r="C100" i="10" s="1"/>
  <c r="C101" i="10" s="1"/>
  <c r="C102" i="10" s="1"/>
  <c r="C103" i="10" s="1"/>
  <c r="C104" i="10" s="1"/>
  <c r="C105" i="10" s="1"/>
  <c r="C106" i="10" s="1"/>
  <c r="C107" i="10" s="1"/>
  <c r="C108" i="10" s="1"/>
  <c r="C109" i="10" s="1"/>
  <c r="C110" i="10" s="1"/>
  <c r="C111" i="10" s="1"/>
  <c r="C112" i="10" s="1"/>
  <c r="C113" i="10" s="1"/>
  <c r="C114" i="10" s="1"/>
  <c r="C115" i="10" s="1"/>
  <c r="C116" i="10" s="1"/>
  <c r="C117" i="10" s="1"/>
  <c r="C118" i="10" s="1"/>
  <c r="C119" i="10" s="1"/>
  <c r="C120" i="10" s="1"/>
  <c r="C121" i="10" s="1"/>
  <c r="C122" i="10" s="1"/>
  <c r="C123" i="10" s="1"/>
  <c r="C124" i="10" s="1"/>
  <c r="C125" i="10" s="1"/>
  <c r="C126" i="10" s="1"/>
  <c r="I10" i="30"/>
  <c r="D94" i="30" s="1"/>
  <c r="A2" i="1"/>
  <c r="A2" i="2" s="1"/>
  <c r="I10" i="37"/>
  <c r="I10" i="40"/>
  <c r="D94" i="40" s="1"/>
  <c r="I10" i="24"/>
  <c r="I10" i="22"/>
  <c r="I10" i="31"/>
  <c r="I10" i="43"/>
  <c r="I10" i="27"/>
  <c r="I10" i="45"/>
  <c r="I10" i="5"/>
  <c r="I10" i="39"/>
  <c r="D94" i="39" s="1"/>
  <c r="I10" i="25"/>
  <c r="I10" i="8"/>
  <c r="I10" i="44"/>
  <c r="I10" i="41"/>
  <c r="D94" i="41" s="1"/>
  <c r="I10" i="6"/>
  <c r="I10" i="4"/>
  <c r="O23" i="29"/>
  <c r="P102" i="41"/>
  <c r="P104" i="41"/>
  <c r="P108" i="41"/>
  <c r="P118" i="41"/>
  <c r="P122" i="41"/>
  <c r="P126" i="41"/>
  <c r="P107" i="42"/>
  <c r="P121" i="42"/>
  <c r="O37" i="43"/>
  <c r="O65" i="43"/>
  <c r="C61" i="1"/>
  <c r="C14" i="1"/>
  <c r="C73" i="1"/>
  <c r="C39" i="1"/>
  <c r="C55" i="1"/>
  <c r="C80" i="1"/>
  <c r="C50" i="1"/>
  <c r="C56" i="1"/>
  <c r="C62" i="1"/>
  <c r="O87" i="8"/>
  <c r="O38" i="24"/>
  <c r="O28" i="3"/>
  <c r="O51" i="4"/>
  <c r="O49" i="4"/>
  <c r="O47" i="4"/>
  <c r="O45" i="4"/>
  <c r="O41" i="4"/>
  <c r="O67" i="7"/>
  <c r="O65" i="7"/>
  <c r="O63" i="7"/>
  <c r="O53" i="7"/>
  <c r="O45" i="7"/>
  <c r="O70" i="9"/>
  <c r="O28" i="27"/>
  <c r="O50" i="27"/>
  <c r="F17" i="1"/>
  <c r="F20" i="1" s="1"/>
  <c r="O46" i="5"/>
  <c r="O70" i="8"/>
  <c r="O68" i="8"/>
  <c r="O51" i="8"/>
  <c r="O69" i="9"/>
  <c r="O53" i="9"/>
  <c r="O51" i="9"/>
  <c r="O48" i="9"/>
  <c r="O45" i="9"/>
  <c r="O43" i="9"/>
  <c r="O41" i="9"/>
  <c r="O39" i="9"/>
  <c r="O32" i="9"/>
  <c r="P110" i="13"/>
  <c r="O25" i="13"/>
  <c r="O70" i="22"/>
  <c r="O48" i="22"/>
  <c r="O34" i="22"/>
  <c r="O71" i="23"/>
  <c r="O55" i="23"/>
  <c r="O51" i="23"/>
  <c r="O40" i="24"/>
  <c r="O72" i="25"/>
  <c r="O53" i="29"/>
  <c r="O61" i="37"/>
  <c r="O25" i="39"/>
  <c r="O27" i="39"/>
  <c r="O49" i="39"/>
  <c r="P128" i="39"/>
  <c r="P110" i="44"/>
  <c r="P124" i="44"/>
  <c r="O20" i="45"/>
  <c r="O34" i="5"/>
  <c r="O39" i="6"/>
  <c r="O37" i="6"/>
  <c r="O35" i="6"/>
  <c r="O56" i="8"/>
  <c r="O49" i="22"/>
  <c r="O46" i="23"/>
  <c r="O57" i="24"/>
  <c r="O34" i="24"/>
  <c r="O28" i="24"/>
  <c r="O26" i="24"/>
  <c r="O32" i="29"/>
  <c r="O41" i="31"/>
  <c r="O34" i="38"/>
  <c r="O64" i="38"/>
  <c r="O66" i="38"/>
  <c r="O42" i="44"/>
  <c r="O44" i="44"/>
  <c r="O68" i="40"/>
  <c r="O72" i="40"/>
  <c r="O67" i="41"/>
  <c r="O19" i="44"/>
  <c r="O64" i="9"/>
  <c r="O31" i="9"/>
  <c r="O70" i="10"/>
  <c r="O32" i="10"/>
  <c r="P129" i="13"/>
  <c r="P125" i="13"/>
  <c r="P121" i="13"/>
  <c r="P113" i="13"/>
  <c r="P105" i="13"/>
  <c r="P103" i="13"/>
  <c r="P99" i="13"/>
  <c r="O52" i="23"/>
  <c r="O70" i="24"/>
  <c r="O48" i="24"/>
  <c r="O44" i="24"/>
  <c r="O61" i="25"/>
  <c r="O34" i="25"/>
  <c r="O32" i="25"/>
  <c r="O53" i="27"/>
  <c r="O67" i="27"/>
  <c r="O69" i="27"/>
  <c r="O32" i="28"/>
  <c r="O36" i="28"/>
  <c r="O38" i="28"/>
  <c r="O50" i="28"/>
  <c r="O68" i="28"/>
  <c r="O35" i="29"/>
  <c r="O47" i="29"/>
  <c r="O51" i="29"/>
  <c r="O55" i="29"/>
  <c r="O72" i="29"/>
  <c r="O71" i="30"/>
  <c r="O57" i="31"/>
  <c r="O61" i="31"/>
  <c r="O71" i="31"/>
  <c r="O20" i="37"/>
  <c r="O22" i="37"/>
  <c r="O26" i="37"/>
  <c r="O28" i="37"/>
  <c r="O30" i="37"/>
  <c r="O32" i="37"/>
  <c r="O36" i="37"/>
  <c r="O44" i="37"/>
  <c r="O50" i="37"/>
  <c r="O58" i="37"/>
  <c r="O60" i="37"/>
  <c r="O66" i="37"/>
  <c r="O70" i="37"/>
  <c r="P101" i="37"/>
  <c r="P119" i="37"/>
  <c r="O25" i="38"/>
  <c r="O35" i="38"/>
  <c r="O45" i="38"/>
  <c r="O41" i="40"/>
  <c r="P114" i="40"/>
  <c r="P118" i="40"/>
  <c r="P122" i="40"/>
  <c r="P130" i="40"/>
  <c r="O30" i="41"/>
  <c r="O40" i="41"/>
  <c r="O42" i="41"/>
  <c r="O72" i="41"/>
  <c r="O51" i="42"/>
  <c r="P102" i="42"/>
  <c r="P108" i="42"/>
  <c r="P112" i="42"/>
  <c r="P122" i="42"/>
  <c r="O22" i="44"/>
  <c r="O28" i="44"/>
  <c r="O34" i="44"/>
  <c r="O19" i="45"/>
  <c r="O58" i="45"/>
  <c r="P117" i="45"/>
  <c r="D13" i="29"/>
  <c r="I14" i="29" s="1"/>
  <c r="D23" i="29" s="1"/>
  <c r="D13" i="42"/>
  <c r="I14" i="42" s="1"/>
  <c r="D13" i="10"/>
  <c r="I14" i="10" s="1"/>
  <c r="D13" i="7"/>
  <c r="I14" i="7" s="1"/>
  <c r="E31" i="7" s="1"/>
  <c r="D13" i="25"/>
  <c r="I14" i="25" s="1"/>
  <c r="D13" i="5"/>
  <c r="I14" i="5" s="1"/>
  <c r="D13" i="41"/>
  <c r="I14" i="41" s="1"/>
  <c r="D19" i="41" s="1"/>
  <c r="D13" i="37"/>
  <c r="I14" i="37" s="1"/>
  <c r="D13" i="11"/>
  <c r="I14" i="11" s="1"/>
  <c r="E30" i="11" s="1"/>
  <c r="D13" i="6"/>
  <c r="I14" i="6" s="1"/>
  <c r="D13" i="44"/>
  <c r="I14" i="44" s="1"/>
  <c r="D13" i="28"/>
  <c r="I14" i="28" s="1"/>
  <c r="D13" i="40"/>
  <c r="I14" i="40" s="1"/>
  <c r="E19" i="40" s="1"/>
  <c r="D13" i="38"/>
  <c r="I14" i="38" s="1"/>
  <c r="D13" i="3"/>
  <c r="I14" i="3" s="1"/>
  <c r="D13" i="39"/>
  <c r="I14" i="39" s="1"/>
  <c r="D13" i="23"/>
  <c r="I14" i="23" s="1"/>
  <c r="D13" i="22"/>
  <c r="I14" i="22" s="1"/>
  <c r="D13" i="45"/>
  <c r="I14" i="45" s="1"/>
  <c r="E18" i="45" s="1"/>
  <c r="D13" i="27"/>
  <c r="I14" i="27" s="1"/>
  <c r="D13" i="24"/>
  <c r="I14" i="24" s="1"/>
  <c r="D13" i="4"/>
  <c r="I14" i="4" s="1"/>
  <c r="E28" i="4" s="1"/>
  <c r="D13" i="30"/>
  <c r="I14" i="30" s="1"/>
  <c r="D13" i="9"/>
  <c r="I14" i="9" s="1"/>
  <c r="D13" i="8"/>
  <c r="I14" i="8" s="1"/>
  <c r="D13" i="13"/>
  <c r="D13" i="43"/>
  <c r="I14" i="43" s="1"/>
  <c r="E19" i="43" s="1"/>
  <c r="I17" i="44"/>
  <c r="O87" i="30"/>
  <c r="O35" i="5"/>
  <c r="O71" i="6"/>
  <c r="O60" i="8"/>
  <c r="O58" i="8"/>
  <c r="O68" i="9"/>
  <c r="O30" i="11"/>
  <c r="O63" i="23"/>
  <c r="O87" i="22"/>
  <c r="O48" i="3"/>
  <c r="O46" i="3"/>
  <c r="O44" i="3"/>
  <c r="O42" i="5"/>
  <c r="O31" i="5"/>
  <c r="O36" i="6"/>
  <c r="O57" i="7"/>
  <c r="O37" i="8"/>
  <c r="O35" i="11"/>
  <c r="O70" i="13"/>
  <c r="O68" i="13"/>
  <c r="O38" i="3"/>
  <c r="O32" i="3"/>
  <c r="O57" i="4"/>
  <c r="O55" i="4"/>
  <c r="O40" i="5"/>
  <c r="O36" i="5"/>
  <c r="O48" i="6"/>
  <c r="O41" i="6"/>
  <c r="O64" i="7"/>
  <c r="O62" i="7"/>
  <c r="O34" i="9"/>
  <c r="O47" i="11"/>
  <c r="O27" i="13"/>
  <c r="O68" i="22"/>
  <c r="O35" i="22"/>
  <c r="O56" i="23"/>
  <c r="I12" i="39"/>
  <c r="I13" i="39" s="1"/>
  <c r="I12" i="13"/>
  <c r="G19" i="13" s="1"/>
  <c r="I12" i="3"/>
  <c r="I13" i="3" s="1"/>
  <c r="I12" i="31"/>
  <c r="I13" i="31" s="1"/>
  <c r="I12" i="10"/>
  <c r="I13" i="10" s="1"/>
  <c r="I12" i="5"/>
  <c r="I13" i="5" s="1"/>
  <c r="I12" i="43"/>
  <c r="I13" i="43" s="1"/>
  <c r="I12" i="28"/>
  <c r="I13" i="28" s="1"/>
  <c r="I12" i="40"/>
  <c r="I13" i="40" s="1"/>
  <c r="I12" i="22"/>
  <c r="I13" i="22" s="1"/>
  <c r="I12" i="30"/>
  <c r="I13" i="30" s="1"/>
  <c r="I12" i="27"/>
  <c r="I13" i="27" s="1"/>
  <c r="O46" i="24"/>
  <c r="O72" i="27"/>
  <c r="O28" i="29"/>
  <c r="O30" i="29"/>
  <c r="O60" i="29"/>
  <c r="O50" i="30"/>
  <c r="O72" i="37"/>
  <c r="O43" i="38"/>
  <c r="O72" i="38"/>
  <c r="O24" i="39"/>
  <c r="O48" i="39"/>
  <c r="O46" i="40"/>
  <c r="O43" i="44"/>
  <c r="O49" i="44"/>
  <c r="O72" i="44"/>
  <c r="P99" i="44"/>
  <c r="P107" i="44"/>
  <c r="O61" i="45"/>
  <c r="P104" i="45"/>
  <c r="P106" i="45"/>
  <c r="P116" i="45"/>
  <c r="O47" i="3"/>
  <c r="O33" i="6"/>
  <c r="O58" i="7"/>
  <c r="O54" i="8"/>
  <c r="O58" i="13"/>
  <c r="O39" i="22"/>
  <c r="O58" i="23"/>
  <c r="O28" i="23"/>
  <c r="O60" i="24"/>
  <c r="O25" i="24"/>
  <c r="O71" i="25"/>
  <c r="O45" i="25"/>
  <c r="O43" i="25"/>
  <c r="O26" i="28"/>
  <c r="O48" i="28"/>
  <c r="O61" i="28"/>
  <c r="O40" i="29"/>
  <c r="O46" i="29"/>
  <c r="O70" i="29"/>
  <c r="O67" i="30"/>
  <c r="O72" i="30"/>
  <c r="O23" i="31"/>
  <c r="O31" i="31"/>
  <c r="O35" i="31"/>
  <c r="O43" i="31"/>
  <c r="O51" i="31"/>
  <c r="O23" i="37"/>
  <c r="O25" i="37"/>
  <c r="O31" i="37"/>
  <c r="P100" i="39"/>
  <c r="P106" i="39"/>
  <c r="P108" i="39"/>
  <c r="O33" i="40"/>
  <c r="O39" i="40"/>
  <c r="O64" i="40"/>
  <c r="O42" i="42"/>
  <c r="O46" i="42"/>
  <c r="O33" i="44"/>
  <c r="O28" i="45"/>
  <c r="O34" i="45"/>
  <c r="O38" i="45"/>
  <c r="O40" i="45"/>
  <c r="O70" i="3"/>
  <c r="O64" i="3"/>
  <c r="O58" i="3"/>
  <c r="O54" i="3"/>
  <c r="O52" i="3"/>
  <c r="O41" i="3"/>
  <c r="O34" i="3"/>
  <c r="O67" i="4"/>
  <c r="O61" i="4"/>
  <c r="O59" i="4"/>
  <c r="O40" i="4"/>
  <c r="O38" i="4"/>
  <c r="O31" i="4"/>
  <c r="O50" i="6"/>
  <c r="O38" i="6"/>
  <c r="O69" i="7"/>
  <c r="O52" i="7"/>
  <c r="O39" i="7"/>
  <c r="O37" i="7"/>
  <c r="O61" i="9"/>
  <c r="O29" i="9"/>
  <c r="O66" i="10"/>
  <c r="O64" i="10"/>
  <c r="O56" i="10"/>
  <c r="O54" i="10"/>
  <c r="O48" i="10"/>
  <c r="O44" i="10"/>
  <c r="O40" i="10"/>
  <c r="O60" i="11"/>
  <c r="O58" i="11"/>
  <c r="O52" i="11"/>
  <c r="O42" i="11"/>
  <c r="O33" i="11"/>
  <c r="O45" i="13"/>
  <c r="O38" i="13"/>
  <c r="O59" i="22"/>
  <c r="O51" i="22"/>
  <c r="O31" i="22"/>
  <c r="O30" i="24"/>
  <c r="O39" i="25"/>
  <c r="O37" i="25"/>
  <c r="O35" i="25"/>
  <c r="O65" i="29"/>
  <c r="O46" i="37"/>
  <c r="O29" i="44"/>
  <c r="O31" i="11"/>
  <c r="O61" i="13"/>
  <c r="O31" i="13"/>
  <c r="O40" i="22"/>
  <c r="O28" i="22"/>
  <c r="O33" i="23"/>
  <c r="O31" i="23"/>
  <c r="O29" i="23"/>
  <c r="O50" i="24"/>
  <c r="O43" i="24"/>
  <c r="O27" i="25"/>
  <c r="O45" i="28"/>
  <c r="O64" i="28"/>
  <c r="O70" i="28"/>
  <c r="O26" i="29"/>
  <c r="O29" i="29"/>
  <c r="O31" i="29"/>
  <c r="O56" i="29"/>
  <c r="O66" i="29"/>
  <c r="O26" i="30"/>
  <c r="O28" i="30"/>
  <c r="O32" i="30"/>
  <c r="O36" i="30"/>
  <c r="O26" i="31"/>
  <c r="O30" i="31"/>
  <c r="O50" i="31"/>
  <c r="O58" i="31"/>
  <c r="O51" i="37"/>
  <c r="O53" i="37"/>
  <c r="O51" i="38"/>
  <c r="O55" i="38"/>
  <c r="P118" i="38"/>
  <c r="O32" i="39"/>
  <c r="O34" i="39"/>
  <c r="O36" i="39"/>
  <c r="O44" i="39"/>
  <c r="O53" i="39"/>
  <c r="O55" i="39"/>
  <c r="O61" i="39"/>
  <c r="O67" i="39"/>
  <c r="O69" i="39"/>
  <c r="O22" i="40"/>
  <c r="O30" i="40"/>
  <c r="P101" i="40"/>
  <c r="P103" i="40"/>
  <c r="P107" i="40"/>
  <c r="P127" i="40"/>
  <c r="O25" i="41"/>
  <c r="O27" i="41"/>
  <c r="O33" i="41"/>
  <c r="O66" i="41"/>
  <c r="O70" i="41"/>
  <c r="P99" i="42"/>
  <c r="P111" i="42"/>
  <c r="O25" i="43"/>
  <c r="O46" i="44"/>
  <c r="O33" i="45"/>
  <c r="O72" i="39"/>
  <c r="P115" i="39"/>
  <c r="P123" i="39"/>
  <c r="P127" i="39"/>
  <c r="O22" i="42"/>
  <c r="O24" i="42"/>
  <c r="O49" i="42"/>
  <c r="O66" i="42"/>
  <c r="O42" i="43"/>
  <c r="O47" i="43"/>
  <c r="O26" i="44"/>
  <c r="O60" i="44"/>
  <c r="O63" i="44"/>
  <c r="P120" i="44"/>
  <c r="O51" i="45"/>
  <c r="O53" i="45"/>
  <c r="R12" i="17"/>
  <c r="T12" i="17" s="1"/>
  <c r="P109" i="4"/>
  <c r="P118" i="9"/>
  <c r="P135" i="10"/>
  <c r="P121" i="22"/>
  <c r="P117" i="22"/>
  <c r="P102" i="43"/>
  <c r="P106" i="43"/>
  <c r="P114" i="43"/>
  <c r="P122" i="43"/>
  <c r="P126" i="43"/>
  <c r="P130" i="43"/>
  <c r="P111" i="44"/>
  <c r="P113" i="44"/>
  <c r="P121" i="44"/>
  <c r="P123" i="44"/>
  <c r="P148" i="3"/>
  <c r="P144" i="3"/>
  <c r="P142" i="3"/>
  <c r="P140" i="3"/>
  <c r="P134" i="3"/>
  <c r="P132" i="3"/>
  <c r="P130" i="3"/>
  <c r="P128" i="3"/>
  <c r="P152" i="4"/>
  <c r="P148" i="4"/>
  <c r="P146" i="4"/>
  <c r="P144" i="4"/>
  <c r="P142" i="4"/>
  <c r="P138" i="4"/>
  <c r="P134" i="4"/>
  <c r="P128" i="4"/>
  <c r="P124" i="4"/>
  <c r="P120" i="4"/>
  <c r="P112" i="4"/>
  <c r="P108" i="4"/>
  <c r="P137" i="5"/>
  <c r="P135" i="5"/>
  <c r="P131" i="5"/>
  <c r="P119" i="5"/>
  <c r="P115" i="5"/>
  <c r="P111" i="5"/>
  <c r="P109" i="5"/>
  <c r="P153" i="7"/>
  <c r="P152" i="8"/>
  <c r="P126" i="8"/>
  <c r="P124" i="8"/>
  <c r="P120" i="8"/>
  <c r="P118" i="8"/>
  <c r="P114" i="8"/>
  <c r="P133" i="10"/>
  <c r="P125" i="10"/>
  <c r="P123" i="10"/>
  <c r="P121" i="10"/>
  <c r="P119" i="10"/>
  <c r="P130" i="11"/>
  <c r="P126" i="11"/>
  <c r="P120" i="11"/>
  <c r="P130" i="13"/>
  <c r="P107" i="13"/>
  <c r="P128" i="22"/>
  <c r="P111" i="22"/>
  <c r="P109" i="22"/>
  <c r="P107" i="24"/>
  <c r="P113" i="25"/>
  <c r="P111" i="25"/>
  <c r="P106" i="27"/>
  <c r="P111" i="29"/>
  <c r="P123" i="29"/>
  <c r="P121" i="38"/>
  <c r="P125" i="38"/>
  <c r="P127" i="38"/>
  <c r="P129" i="38"/>
  <c r="P114" i="39"/>
  <c r="P120" i="39"/>
  <c r="P101" i="42"/>
  <c r="P105" i="42"/>
  <c r="P113" i="42"/>
  <c r="P115" i="42"/>
  <c r="P113" i="43"/>
  <c r="P118" i="44"/>
  <c r="P151" i="3"/>
  <c r="P129" i="3"/>
  <c r="P112" i="3"/>
  <c r="P151" i="4"/>
  <c r="P143" i="4"/>
  <c r="P135" i="4"/>
  <c r="P133" i="4"/>
  <c r="P129" i="4"/>
  <c r="P136" i="5"/>
  <c r="P128" i="5"/>
  <c r="P152" i="7"/>
  <c r="P139" i="7"/>
  <c r="P125" i="7"/>
  <c r="P113" i="7"/>
  <c r="P127" i="8"/>
  <c r="P130" i="10"/>
  <c r="P128" i="10"/>
  <c r="P129" i="11"/>
  <c r="P127" i="11"/>
  <c r="P125" i="11"/>
  <c r="P123" i="11"/>
  <c r="P121" i="11"/>
  <c r="P119" i="11"/>
  <c r="P122" i="13"/>
  <c r="P118" i="13"/>
  <c r="P122" i="22"/>
  <c r="P112" i="22"/>
  <c r="P110" i="22"/>
  <c r="P120" i="23"/>
  <c r="P118" i="23"/>
  <c r="P118" i="25"/>
  <c r="P114" i="25"/>
  <c r="F88" i="2"/>
  <c r="F89" i="2" s="1"/>
  <c r="F91" i="2" s="1"/>
  <c r="F92" i="2" s="1"/>
  <c r="F93" i="2" s="1"/>
  <c r="D95" i="46" s="1"/>
  <c r="P105" i="27"/>
  <c r="P124" i="27"/>
  <c r="P128" i="27"/>
  <c r="P110" i="29"/>
  <c r="P126" i="29"/>
  <c r="P103" i="30"/>
  <c r="P115" i="30"/>
  <c r="P117" i="30"/>
  <c r="P111" i="31"/>
  <c r="P117" i="31"/>
  <c r="P125" i="31"/>
  <c r="P129" i="31"/>
  <c r="P108" i="37"/>
  <c r="P116" i="37"/>
  <c r="P118" i="37"/>
  <c r="P122" i="37"/>
  <c r="P126" i="37"/>
  <c r="P130" i="37"/>
  <c r="P100" i="38"/>
  <c r="P120" i="38"/>
  <c r="P123" i="41"/>
  <c r="P115" i="29"/>
  <c r="P106" i="30"/>
  <c r="P114" i="30"/>
  <c r="P109" i="40"/>
  <c r="P103" i="44"/>
  <c r="P105" i="44"/>
  <c r="M87" i="45"/>
  <c r="M88" i="45"/>
  <c r="O88" i="45" s="1"/>
  <c r="N87" i="45"/>
  <c r="N89" i="45" s="1"/>
  <c r="N87" i="24"/>
  <c r="O87" i="5"/>
  <c r="C39" i="2"/>
  <c r="C55" i="2"/>
  <c r="C8" i="2"/>
  <c r="P148" i="5"/>
  <c r="P144" i="5"/>
  <c r="P140" i="5"/>
  <c r="P151" i="7"/>
  <c r="P144" i="10"/>
  <c r="P138" i="10"/>
  <c r="P115" i="22"/>
  <c r="P130" i="24"/>
  <c r="P107" i="25"/>
  <c r="P103" i="37"/>
  <c r="P107" i="37"/>
  <c r="P115" i="37"/>
  <c r="P100" i="40"/>
  <c r="P116" i="42"/>
  <c r="P120" i="42"/>
  <c r="P124" i="42"/>
  <c r="P128" i="42"/>
  <c r="P117" i="44"/>
  <c r="P122" i="45"/>
  <c r="P126" i="45"/>
  <c r="P128" i="45"/>
  <c r="M88" i="44"/>
  <c r="O88" i="44" s="1"/>
  <c r="P149" i="10"/>
  <c r="P137" i="10"/>
  <c r="P109" i="23"/>
  <c r="P106" i="28"/>
  <c r="P110" i="28"/>
  <c r="P114" i="28"/>
  <c r="P122" i="28"/>
  <c r="P126" i="28"/>
  <c r="P110" i="38"/>
  <c r="P114" i="38"/>
  <c r="P112" i="41"/>
  <c r="P116" i="41"/>
  <c r="P120" i="41"/>
  <c r="P114" i="44"/>
  <c r="P107" i="31"/>
  <c r="P139" i="3"/>
  <c r="L86" i="28"/>
  <c r="M87" i="28"/>
  <c r="N87" i="28"/>
  <c r="O87" i="9"/>
  <c r="N87" i="3"/>
  <c r="M87" i="3"/>
  <c r="O87" i="41"/>
  <c r="L86" i="27"/>
  <c r="N87" i="27"/>
  <c r="O87" i="27" s="1"/>
  <c r="P121" i="3"/>
  <c r="M87" i="38"/>
  <c r="P146" i="5"/>
  <c r="P120" i="27"/>
  <c r="P129" i="29"/>
  <c r="P116" i="31"/>
  <c r="P120" i="31"/>
  <c r="P124" i="31"/>
  <c r="P128" i="31"/>
  <c r="P124" i="37"/>
  <c r="P123" i="38"/>
  <c r="P129" i="39"/>
  <c r="P105" i="40"/>
  <c r="P120" i="40"/>
  <c r="P124" i="40"/>
  <c r="P125" i="44"/>
  <c r="N87" i="38"/>
  <c r="N87" i="10"/>
  <c r="O87" i="10" s="1"/>
  <c r="P118" i="3"/>
  <c r="P126" i="4"/>
  <c r="P118" i="4"/>
  <c r="P114" i="4"/>
  <c r="P130" i="5"/>
  <c r="P126" i="5"/>
  <c r="P126" i="7"/>
  <c r="P149" i="8"/>
  <c r="P109" i="8"/>
  <c r="P115" i="9"/>
  <c r="P139" i="10"/>
  <c r="P132" i="10"/>
  <c r="P127" i="13"/>
  <c r="P123" i="22"/>
  <c r="P116" i="22"/>
  <c r="P130" i="23"/>
  <c r="P113" i="23"/>
  <c r="P105" i="24"/>
  <c r="P119" i="30"/>
  <c r="P105" i="31"/>
  <c r="P130" i="44"/>
  <c r="P105" i="45"/>
  <c r="P109" i="45"/>
  <c r="P120" i="45"/>
  <c r="L86" i="10"/>
  <c r="O87" i="37"/>
  <c r="P150" i="3"/>
  <c r="P146" i="3"/>
  <c r="P135" i="3"/>
  <c r="P131" i="3"/>
  <c r="P117" i="3"/>
  <c r="P113" i="3"/>
  <c r="P125" i="5"/>
  <c r="P117" i="5"/>
  <c r="P109" i="6"/>
  <c r="P150" i="7"/>
  <c r="P132" i="7"/>
  <c r="P121" i="7"/>
  <c r="P117" i="7"/>
  <c r="P116" i="8"/>
  <c r="P112" i="8"/>
  <c r="P122" i="11"/>
  <c r="P112" i="11"/>
  <c r="P100" i="13"/>
  <c r="P122" i="23"/>
  <c r="P119" i="24"/>
  <c r="P111" i="24"/>
  <c r="P129" i="25"/>
  <c r="P113" i="28"/>
  <c r="P121" i="28"/>
  <c r="P125" i="28"/>
  <c r="P119" i="29"/>
  <c r="P105" i="30"/>
  <c r="P109" i="30"/>
  <c r="P120" i="30"/>
  <c r="P106" i="31"/>
  <c r="P130" i="31"/>
  <c r="P110" i="37"/>
  <c r="P101" i="38"/>
  <c r="P130" i="41"/>
  <c r="P104" i="42"/>
  <c r="P116" i="44"/>
  <c r="P127" i="44"/>
  <c r="P110" i="45"/>
  <c r="P113" i="5"/>
  <c r="P129" i="22"/>
  <c r="P128" i="25"/>
  <c r="P118" i="28"/>
  <c r="P130" i="28"/>
  <c r="P109" i="29"/>
  <c r="P110" i="30"/>
  <c r="P125" i="30"/>
  <c r="P103" i="31"/>
  <c r="P102" i="38"/>
  <c r="P106" i="38"/>
  <c r="P104" i="39"/>
  <c r="P112" i="39"/>
  <c r="P124" i="39"/>
  <c r="P111" i="40"/>
  <c r="P118" i="45"/>
  <c r="N87" i="40"/>
  <c r="P139" i="5"/>
  <c r="P151" i="10"/>
  <c r="P128" i="11"/>
  <c r="P109" i="13"/>
  <c r="P117" i="29"/>
  <c r="P104" i="37"/>
  <c r="P123" i="43"/>
  <c r="L86" i="38"/>
  <c r="P129" i="10"/>
  <c r="D20" i="39"/>
  <c r="E20" i="39"/>
  <c r="D20" i="13"/>
  <c r="E20" i="13" s="1"/>
  <c r="D28" i="5"/>
  <c r="B23" i="29"/>
  <c r="D31" i="7"/>
  <c r="D30" i="11"/>
  <c r="D28" i="3"/>
  <c r="D19" i="40"/>
  <c r="D13" i="31"/>
  <c r="I14" i="31" s="1"/>
  <c r="C45" i="44"/>
  <c r="C46" i="44" s="1"/>
  <c r="C47" i="44" s="1"/>
  <c r="C48" i="44" s="1"/>
  <c r="C49" i="44" s="1"/>
  <c r="C50" i="44" s="1"/>
  <c r="C51" i="44" s="1"/>
  <c r="C52" i="44" s="1"/>
  <c r="C53" i="44" s="1"/>
  <c r="C54" i="44" s="1"/>
  <c r="C55" i="44" s="1"/>
  <c r="C56" i="44" s="1"/>
  <c r="C57" i="44" s="1"/>
  <c r="C58" i="44" s="1"/>
  <c r="C59" i="44" s="1"/>
  <c r="C60" i="44" s="1"/>
  <c r="C61" i="44" s="1"/>
  <c r="C62" i="44" s="1"/>
  <c r="C63" i="44" s="1"/>
  <c r="C64" i="44" s="1"/>
  <c r="C65" i="44" s="1"/>
  <c r="C66" i="44" s="1"/>
  <c r="C67" i="44" s="1"/>
  <c r="C68" i="44" s="1"/>
  <c r="C69" i="44" s="1"/>
  <c r="C70" i="44" s="1"/>
  <c r="C71" i="44" s="1"/>
  <c r="C72" i="44" s="1"/>
  <c r="L86" i="39"/>
  <c r="M87" i="39"/>
  <c r="N87" i="39"/>
  <c r="L86" i="11"/>
  <c r="L86" i="25"/>
  <c r="N87" i="25"/>
  <c r="O87" i="25" s="1"/>
  <c r="F53" i="2"/>
  <c r="E30" i="2"/>
  <c r="I17" i="45"/>
  <c r="M87" i="6"/>
  <c r="N87" i="6"/>
  <c r="E32" i="2"/>
  <c r="M87" i="44"/>
  <c r="D92" i="41"/>
  <c r="N87" i="44"/>
  <c r="L86" i="44"/>
  <c r="O17" i="41"/>
  <c r="D94" i="23"/>
  <c r="D93" i="23"/>
  <c r="D99" i="24"/>
  <c r="P153" i="4"/>
  <c r="P141" i="4"/>
  <c r="O60" i="4"/>
  <c r="O58" i="6"/>
  <c r="P146" i="7"/>
  <c r="O36" i="7"/>
  <c r="P140" i="8"/>
  <c r="M87" i="40"/>
  <c r="P122" i="4"/>
  <c r="P142" i="5"/>
  <c r="O39" i="5"/>
  <c r="O61" i="7"/>
  <c r="P122" i="8"/>
  <c r="P136" i="3"/>
  <c r="P125" i="3"/>
  <c r="O30" i="3"/>
  <c r="P113" i="4"/>
  <c r="O68" i="6"/>
  <c r="P128" i="8"/>
  <c r="P132" i="4"/>
  <c r="P116" i="4"/>
  <c r="P100" i="4"/>
  <c r="O20" i="5"/>
  <c r="P118" i="7"/>
  <c r="P134" i="8"/>
  <c r="O72" i="3"/>
  <c r="O36" i="3"/>
  <c r="P150" i="4"/>
  <c r="P137" i="8"/>
  <c r="O70" i="25"/>
  <c r="P100" i="23"/>
  <c r="O66" i="28"/>
  <c r="O63" i="28"/>
  <c r="O23" i="6"/>
  <c r="P106" i="7"/>
  <c r="O17" i="28"/>
  <c r="P105" i="6"/>
  <c r="O23" i="11"/>
  <c r="O25" i="28"/>
  <c r="O60" i="28"/>
  <c r="O21" i="25"/>
  <c r="O24" i="7"/>
  <c r="O24" i="29"/>
  <c r="O22" i="5"/>
  <c r="P104" i="6"/>
  <c r="O17" i="29"/>
  <c r="P103" i="23"/>
  <c r="P100" i="28"/>
  <c r="O31" i="41"/>
  <c r="P110" i="43"/>
  <c r="O49" i="38"/>
  <c r="O63" i="39"/>
  <c r="P126" i="40"/>
  <c r="P109" i="10"/>
  <c r="O56" i="43"/>
  <c r="P105" i="5"/>
  <c r="O22" i="23"/>
  <c r="J92" i="29"/>
  <c r="J47" i="17"/>
  <c r="J92" i="13"/>
  <c r="D27" i="17"/>
  <c r="D28" i="17"/>
  <c r="D22" i="17"/>
  <c r="C32" i="17"/>
  <c r="C24" i="17"/>
  <c r="D36" i="17"/>
  <c r="C38" i="17"/>
  <c r="D38" i="17"/>
  <c r="C44" i="17"/>
  <c r="D43" i="17"/>
  <c r="C25" i="17"/>
  <c r="C40" i="17"/>
  <c r="D23" i="17"/>
  <c r="D30" i="17"/>
  <c r="C33" i="17"/>
  <c r="C36" i="17"/>
  <c r="C27" i="17"/>
  <c r="D20" i="17"/>
  <c r="D21" i="17"/>
  <c r="D42" i="17"/>
  <c r="C22" i="17"/>
  <c r="C31" i="17"/>
  <c r="C28" i="17"/>
  <c r="D32" i="17"/>
  <c r="D40" i="17"/>
  <c r="C23" i="17"/>
  <c r="C37" i="17"/>
  <c r="D25" i="17"/>
  <c r="D19" i="17"/>
  <c r="D41" i="17"/>
  <c r="C29" i="17"/>
  <c r="D33" i="17"/>
  <c r="D45" i="17"/>
  <c r="C42" i="17"/>
  <c r="D24" i="17"/>
  <c r="C19" i="17"/>
  <c r="C41" i="17"/>
  <c r="C35" i="17"/>
  <c r="C43" i="17"/>
  <c r="D37" i="17"/>
  <c r="D31" i="17"/>
  <c r="C45" i="17"/>
  <c r="C39" i="17"/>
  <c r="D18" i="17"/>
  <c r="C34" i="17"/>
  <c r="D44" i="17"/>
  <c r="I45" i="17"/>
  <c r="D29" i="17"/>
  <c r="D35" i="17"/>
  <c r="C26" i="17"/>
  <c r="C20" i="17"/>
  <c r="D34" i="17"/>
  <c r="D39" i="17"/>
  <c r="C18" i="17"/>
  <c r="C21" i="17"/>
  <c r="D26" i="17"/>
  <c r="C30" i="17"/>
  <c r="D93" i="39" l="1"/>
  <c r="D93" i="40"/>
  <c r="E99" i="46"/>
  <c r="D93" i="41"/>
  <c r="C99" i="41" s="1"/>
  <c r="C100" i="41" s="1"/>
  <c r="C101" i="41" s="1"/>
  <c r="C102" i="41" s="1"/>
  <c r="C103" i="41" s="1"/>
  <c r="C104" i="41" s="1"/>
  <c r="C105" i="41" s="1"/>
  <c r="C106" i="41" s="1"/>
  <c r="C107" i="41" s="1"/>
  <c r="C108" i="41" s="1"/>
  <c r="C109" i="41" s="1"/>
  <c r="C110" i="41" s="1"/>
  <c r="C111" i="41" s="1"/>
  <c r="C112" i="41" s="1"/>
  <c r="C113" i="41" s="1"/>
  <c r="C114" i="41" s="1"/>
  <c r="C115" i="41" s="1"/>
  <c r="C116" i="41" s="1"/>
  <c r="C117" i="41" s="1"/>
  <c r="C118" i="41" s="1"/>
  <c r="C119" i="41" s="1"/>
  <c r="C120" i="41" s="1"/>
  <c r="C121" i="41" s="1"/>
  <c r="C122" i="41" s="1"/>
  <c r="C123" i="41" s="1"/>
  <c r="C124" i="41" s="1"/>
  <c r="C125" i="41" s="1"/>
  <c r="C126" i="41" s="1"/>
  <c r="C127" i="41" s="1"/>
  <c r="C128" i="41" s="1"/>
  <c r="C129" i="41" s="1"/>
  <c r="C130" i="41" s="1"/>
  <c r="C131" i="41" s="1"/>
  <c r="C132" i="41" s="1"/>
  <c r="C133" i="41" s="1"/>
  <c r="C134" i="41" s="1"/>
  <c r="C135" i="41" s="1"/>
  <c r="C136" i="41" s="1"/>
  <c r="C137" i="41" s="1"/>
  <c r="C138" i="41" s="1"/>
  <c r="C139" i="41" s="1"/>
  <c r="C140" i="41" s="1"/>
  <c r="C141" i="41" s="1"/>
  <c r="C142" i="41" s="1"/>
  <c r="C143" i="41" s="1"/>
  <c r="C144" i="41" s="1"/>
  <c r="C145" i="41" s="1"/>
  <c r="C146" i="41" s="1"/>
  <c r="C147" i="41" s="1"/>
  <c r="C148" i="41" s="1"/>
  <c r="C149" i="41" s="1"/>
  <c r="C150" i="41" s="1"/>
  <c r="C151" i="41" s="1"/>
  <c r="C152" i="41" s="1"/>
  <c r="C153" i="41" s="1"/>
  <c r="C154" i="41" s="1"/>
  <c r="D94" i="10"/>
  <c r="D92" i="40"/>
  <c r="B19" i="13"/>
  <c r="G17" i="46"/>
  <c r="E23" i="29"/>
  <c r="F23" i="29" s="1"/>
  <c r="D24" i="29" s="1"/>
  <c r="O87" i="42"/>
  <c r="O87" i="24"/>
  <c r="E18" i="46"/>
  <c r="F18" i="46" s="1"/>
  <c r="E19" i="41"/>
  <c r="B18" i="46"/>
  <c r="H17" i="46"/>
  <c r="O87" i="4"/>
  <c r="D93" i="7"/>
  <c r="C99" i="46"/>
  <c r="F99" i="46" s="1"/>
  <c r="C100" i="46"/>
  <c r="C101" i="46" s="1"/>
  <c r="C102" i="46" s="1"/>
  <c r="C103" i="46" s="1"/>
  <c r="C104" i="46" s="1"/>
  <c r="C105" i="46" s="1"/>
  <c r="C106" i="46" s="1"/>
  <c r="C107" i="46" s="1"/>
  <c r="C108" i="46" s="1"/>
  <c r="C109" i="46" s="1"/>
  <c r="C110" i="46" s="1"/>
  <c r="C111" i="46" s="1"/>
  <c r="C112" i="46" s="1"/>
  <c r="C113" i="46" s="1"/>
  <c r="C114" i="46" s="1"/>
  <c r="C115" i="46" s="1"/>
  <c r="C116" i="46" s="1"/>
  <c r="C117" i="46" s="1"/>
  <c r="C118" i="46" s="1"/>
  <c r="C119" i="46" s="1"/>
  <c r="C120" i="46" s="1"/>
  <c r="C121" i="46" s="1"/>
  <c r="C122" i="46" s="1"/>
  <c r="C123" i="46" s="1"/>
  <c r="C124" i="46" s="1"/>
  <c r="C125" i="46" s="1"/>
  <c r="C126" i="46" s="1"/>
  <c r="C127" i="46" s="1"/>
  <c r="C128" i="46" s="1"/>
  <c r="C129" i="46" s="1"/>
  <c r="C130" i="46" s="1"/>
  <c r="C131" i="46" s="1"/>
  <c r="C132" i="46" s="1"/>
  <c r="C133" i="46" s="1"/>
  <c r="C134" i="46" s="1"/>
  <c r="C135" i="46" s="1"/>
  <c r="C136" i="46" s="1"/>
  <c r="C137" i="46" s="1"/>
  <c r="C138" i="46" s="1"/>
  <c r="C139" i="46" s="1"/>
  <c r="C140" i="46" s="1"/>
  <c r="C141" i="46" s="1"/>
  <c r="C142" i="46" s="1"/>
  <c r="C143" i="46" s="1"/>
  <c r="C144" i="46" s="1"/>
  <c r="C145" i="46" s="1"/>
  <c r="C146" i="46" s="1"/>
  <c r="C147" i="46" s="1"/>
  <c r="C148" i="46" s="1"/>
  <c r="C149" i="46" s="1"/>
  <c r="C150" i="46" s="1"/>
  <c r="C151" i="46" s="1"/>
  <c r="C152" i="46" s="1"/>
  <c r="C153" i="46" s="1"/>
  <c r="C154" i="46" s="1"/>
  <c r="D93" i="30"/>
  <c r="C99" i="30" s="1"/>
  <c r="C100" i="30" s="1"/>
  <c r="C101" i="30" s="1"/>
  <c r="C102" i="30" s="1"/>
  <c r="C103" i="30" s="1"/>
  <c r="C104" i="30" s="1"/>
  <c r="C105" i="30" s="1"/>
  <c r="C106" i="30" s="1"/>
  <c r="C107" i="30" s="1"/>
  <c r="C108" i="30" s="1"/>
  <c r="C109" i="30" s="1"/>
  <c r="C110" i="30" s="1"/>
  <c r="C111" i="30" s="1"/>
  <c r="C112" i="30" s="1"/>
  <c r="C113" i="30" s="1"/>
  <c r="C114" i="30" s="1"/>
  <c r="C115" i="30" s="1"/>
  <c r="C116" i="30" s="1"/>
  <c r="C117" i="30" s="1"/>
  <c r="C118" i="30" s="1"/>
  <c r="C119" i="30" s="1"/>
  <c r="C120" i="30" s="1"/>
  <c r="C121" i="30" s="1"/>
  <c r="C122" i="30" s="1"/>
  <c r="C123" i="30" s="1"/>
  <c r="C124" i="30" s="1"/>
  <c r="C125" i="30" s="1"/>
  <c r="C126" i="30" s="1"/>
  <c r="C127" i="30" s="1"/>
  <c r="C128" i="30" s="1"/>
  <c r="C129" i="30" s="1"/>
  <c r="C130" i="30" s="1"/>
  <c r="C131" i="30" s="1"/>
  <c r="C132" i="30" s="1"/>
  <c r="C133" i="30" s="1"/>
  <c r="C134" i="30" s="1"/>
  <c r="C135" i="30" s="1"/>
  <c r="C136" i="30" s="1"/>
  <c r="C137" i="30" s="1"/>
  <c r="C138" i="30" s="1"/>
  <c r="C139" i="30" s="1"/>
  <c r="C140" i="30" s="1"/>
  <c r="C141" i="30" s="1"/>
  <c r="C142" i="30" s="1"/>
  <c r="C143" i="30" s="1"/>
  <c r="C144" i="30" s="1"/>
  <c r="C145" i="30" s="1"/>
  <c r="C146" i="30" s="1"/>
  <c r="C147" i="30" s="1"/>
  <c r="C148" i="30" s="1"/>
  <c r="C149" i="30" s="1"/>
  <c r="C150" i="30" s="1"/>
  <c r="C151" i="30" s="1"/>
  <c r="C152" i="30" s="1"/>
  <c r="C153" i="30" s="1"/>
  <c r="C154" i="30" s="1"/>
  <c r="V45" i="17"/>
  <c r="D94" i="38"/>
  <c r="M89" i="45"/>
  <c r="D92" i="38"/>
  <c r="O87" i="39"/>
  <c r="O87" i="38"/>
  <c r="O87" i="40"/>
  <c r="D28" i="4"/>
  <c r="F28" i="4" s="1"/>
  <c r="H28" i="4" s="1"/>
  <c r="N6" i="4" s="1"/>
  <c r="D92" i="45"/>
  <c r="E28" i="5"/>
  <c r="F28" i="5" s="1"/>
  <c r="G28" i="5" s="1"/>
  <c r="N5" i="5" s="1"/>
  <c r="E25" i="1"/>
  <c r="E26" i="1" s="1"/>
  <c r="E32" i="1"/>
  <c r="D93" i="6"/>
  <c r="C99" i="6" s="1"/>
  <c r="C100" i="6" s="1"/>
  <c r="C101" i="6" s="1"/>
  <c r="C102" i="6" s="1"/>
  <c r="C103" i="6" s="1"/>
  <c r="C104" i="6" s="1"/>
  <c r="C105" i="6" s="1"/>
  <c r="C106" i="6" s="1"/>
  <c r="C107" i="6" s="1"/>
  <c r="C108" i="6" s="1"/>
  <c r="C109" i="6" s="1"/>
  <c r="C110" i="6" s="1"/>
  <c r="C111" i="6" s="1"/>
  <c r="C112" i="6" s="1"/>
  <c r="C113" i="6" s="1"/>
  <c r="C114" i="6" s="1"/>
  <c r="C115" i="6" s="1"/>
  <c r="C116" i="6" s="1"/>
  <c r="C117" i="6" s="1"/>
  <c r="C118" i="6" s="1"/>
  <c r="C119" i="6" s="1"/>
  <c r="C120" i="6" s="1"/>
  <c r="C121" i="6" s="1"/>
  <c r="C122" i="6" s="1"/>
  <c r="C123" i="6" s="1"/>
  <c r="C124" i="6" s="1"/>
  <c r="C125" i="6" s="1"/>
  <c r="C126" i="6" s="1"/>
  <c r="C127" i="6" s="1"/>
  <c r="C128" i="6" s="1"/>
  <c r="C129" i="6" s="1"/>
  <c r="C130" i="6" s="1"/>
  <c r="C131" i="6" s="1"/>
  <c r="C132" i="6" s="1"/>
  <c r="C133" i="6" s="1"/>
  <c r="C134" i="6" s="1"/>
  <c r="C135" i="6" s="1"/>
  <c r="C136" i="6" s="1"/>
  <c r="C137" i="6" s="1"/>
  <c r="C138" i="6" s="1"/>
  <c r="C139" i="6" s="1"/>
  <c r="C140" i="6" s="1"/>
  <c r="C141" i="6" s="1"/>
  <c r="C142" i="6" s="1"/>
  <c r="C143" i="6" s="1"/>
  <c r="C144" i="6" s="1"/>
  <c r="C145" i="6" s="1"/>
  <c r="C146" i="6" s="1"/>
  <c r="C147" i="6" s="1"/>
  <c r="C148" i="6" s="1"/>
  <c r="C149" i="6" s="1"/>
  <c r="C150" i="6" s="1"/>
  <c r="C151" i="6" s="1"/>
  <c r="C152" i="6" s="1"/>
  <c r="C153" i="6" s="1"/>
  <c r="C154" i="6" s="1"/>
  <c r="D94" i="6"/>
  <c r="D93" i="8"/>
  <c r="C99" i="8" s="1"/>
  <c r="C100" i="8" s="1"/>
  <c r="C101" i="8" s="1"/>
  <c r="C102" i="8" s="1"/>
  <c r="C103" i="8" s="1"/>
  <c r="C104" i="8" s="1"/>
  <c r="C105" i="8" s="1"/>
  <c r="C106" i="8" s="1"/>
  <c r="C107" i="8" s="1"/>
  <c r="C108" i="8" s="1"/>
  <c r="C109" i="8" s="1"/>
  <c r="C110" i="8" s="1"/>
  <c r="C111" i="8" s="1"/>
  <c r="C112" i="8" s="1"/>
  <c r="C113" i="8" s="1"/>
  <c r="C114" i="8" s="1"/>
  <c r="C115" i="8" s="1"/>
  <c r="C116" i="8" s="1"/>
  <c r="C117" i="8" s="1"/>
  <c r="C118" i="8" s="1"/>
  <c r="C119" i="8" s="1"/>
  <c r="C120" i="8" s="1"/>
  <c r="C121" i="8" s="1"/>
  <c r="C122" i="8" s="1"/>
  <c r="C123" i="8" s="1"/>
  <c r="C124" i="8" s="1"/>
  <c r="C125" i="8" s="1"/>
  <c r="C126" i="8" s="1"/>
  <c r="C127" i="8" s="1"/>
  <c r="C128" i="8" s="1"/>
  <c r="C129" i="8" s="1"/>
  <c r="C130" i="8" s="1"/>
  <c r="C131" i="8" s="1"/>
  <c r="C132" i="8" s="1"/>
  <c r="C133" i="8" s="1"/>
  <c r="C134" i="8" s="1"/>
  <c r="C135" i="8" s="1"/>
  <c r="C136" i="8" s="1"/>
  <c r="C137" i="8" s="1"/>
  <c r="C138" i="8" s="1"/>
  <c r="C139" i="8" s="1"/>
  <c r="C140" i="8" s="1"/>
  <c r="C141" i="8" s="1"/>
  <c r="C142" i="8" s="1"/>
  <c r="C143" i="8" s="1"/>
  <c r="C144" i="8" s="1"/>
  <c r="C145" i="8" s="1"/>
  <c r="C146" i="8" s="1"/>
  <c r="C147" i="8" s="1"/>
  <c r="C148" i="8" s="1"/>
  <c r="C149" i="8" s="1"/>
  <c r="C150" i="8" s="1"/>
  <c r="C151" i="8" s="1"/>
  <c r="C152" i="8" s="1"/>
  <c r="C153" i="8" s="1"/>
  <c r="C154" i="8" s="1"/>
  <c r="D94" i="8"/>
  <c r="D93" i="45"/>
  <c r="D94" i="45"/>
  <c r="D94" i="22"/>
  <c r="D93" i="22"/>
  <c r="D94" i="11"/>
  <c r="D93" i="11"/>
  <c r="D93" i="25"/>
  <c r="D94" i="25"/>
  <c r="D93" i="9"/>
  <c r="D94" i="9"/>
  <c r="I18" i="43"/>
  <c r="D93" i="4"/>
  <c r="D94" i="4"/>
  <c r="D93" i="43"/>
  <c r="D92" i="43"/>
  <c r="D94" i="43"/>
  <c r="D92" i="42"/>
  <c r="D93" i="42"/>
  <c r="D94" i="42"/>
  <c r="D94" i="29"/>
  <c r="D93" i="29"/>
  <c r="C99" i="29" s="1"/>
  <c r="C100" i="29" s="1"/>
  <c r="C101" i="29" s="1"/>
  <c r="C102" i="29" s="1"/>
  <c r="C103" i="29" s="1"/>
  <c r="C104" i="29" s="1"/>
  <c r="C105" i="29" s="1"/>
  <c r="C106" i="29" s="1"/>
  <c r="C107" i="29" s="1"/>
  <c r="C108" i="29" s="1"/>
  <c r="C109" i="29" s="1"/>
  <c r="C110" i="29" s="1"/>
  <c r="C111" i="29" s="1"/>
  <c r="C112" i="29" s="1"/>
  <c r="C113" i="29" s="1"/>
  <c r="C114" i="29" s="1"/>
  <c r="C115" i="29" s="1"/>
  <c r="C116" i="29" s="1"/>
  <c r="C117" i="29" s="1"/>
  <c r="C118" i="29" s="1"/>
  <c r="C119" i="29" s="1"/>
  <c r="C120" i="29" s="1"/>
  <c r="C121" i="29" s="1"/>
  <c r="C122" i="29" s="1"/>
  <c r="C123" i="29" s="1"/>
  <c r="C124" i="29" s="1"/>
  <c r="C125" i="29" s="1"/>
  <c r="C126" i="29" s="1"/>
  <c r="C127" i="29" s="1"/>
  <c r="C128" i="29" s="1"/>
  <c r="C129" i="29" s="1"/>
  <c r="C130" i="29" s="1"/>
  <c r="C131" i="29" s="1"/>
  <c r="C132" i="29" s="1"/>
  <c r="C133" i="29" s="1"/>
  <c r="C134" i="29" s="1"/>
  <c r="C135" i="29" s="1"/>
  <c r="C136" i="29" s="1"/>
  <c r="C137" i="29" s="1"/>
  <c r="C138" i="29" s="1"/>
  <c r="C139" i="29" s="1"/>
  <c r="C140" i="29" s="1"/>
  <c r="C141" i="29" s="1"/>
  <c r="C142" i="29" s="1"/>
  <c r="C143" i="29" s="1"/>
  <c r="C144" i="29" s="1"/>
  <c r="C145" i="29" s="1"/>
  <c r="C146" i="29" s="1"/>
  <c r="C147" i="29" s="1"/>
  <c r="C148" i="29" s="1"/>
  <c r="C149" i="29" s="1"/>
  <c r="C150" i="29" s="1"/>
  <c r="C151" i="29" s="1"/>
  <c r="C152" i="29" s="1"/>
  <c r="C153" i="29" s="1"/>
  <c r="C154" i="29" s="1"/>
  <c r="O87" i="28"/>
  <c r="D92" i="44"/>
  <c r="D94" i="44"/>
  <c r="D93" i="44"/>
  <c r="D94" i="5"/>
  <c r="D93" i="5"/>
  <c r="C99" i="5" s="1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C126" i="5" s="1"/>
  <c r="D93" i="31"/>
  <c r="C99" i="31" s="1"/>
  <c r="C100" i="31" s="1"/>
  <c r="C101" i="31" s="1"/>
  <c r="C102" i="31" s="1"/>
  <c r="C103" i="31" s="1"/>
  <c r="C104" i="31" s="1"/>
  <c r="C105" i="31" s="1"/>
  <c r="C106" i="31" s="1"/>
  <c r="C107" i="31" s="1"/>
  <c r="C108" i="31" s="1"/>
  <c r="C109" i="31" s="1"/>
  <c r="C110" i="31" s="1"/>
  <c r="C111" i="31" s="1"/>
  <c r="C112" i="31" s="1"/>
  <c r="C113" i="31" s="1"/>
  <c r="C114" i="31" s="1"/>
  <c r="C115" i="31" s="1"/>
  <c r="C116" i="31" s="1"/>
  <c r="C117" i="31" s="1"/>
  <c r="C118" i="31" s="1"/>
  <c r="C119" i="31" s="1"/>
  <c r="C120" i="31" s="1"/>
  <c r="C121" i="31" s="1"/>
  <c r="C122" i="31" s="1"/>
  <c r="C123" i="31" s="1"/>
  <c r="C124" i="31" s="1"/>
  <c r="C125" i="31" s="1"/>
  <c r="C126" i="31" s="1"/>
  <c r="C127" i="31" s="1"/>
  <c r="C128" i="31" s="1"/>
  <c r="C129" i="31" s="1"/>
  <c r="C130" i="31" s="1"/>
  <c r="C131" i="31" s="1"/>
  <c r="C132" i="31" s="1"/>
  <c r="C133" i="31" s="1"/>
  <c r="C134" i="31" s="1"/>
  <c r="C135" i="31" s="1"/>
  <c r="C136" i="31" s="1"/>
  <c r="C137" i="31" s="1"/>
  <c r="C138" i="31" s="1"/>
  <c r="C139" i="31" s="1"/>
  <c r="C140" i="31" s="1"/>
  <c r="C141" i="31" s="1"/>
  <c r="C142" i="31" s="1"/>
  <c r="C143" i="31" s="1"/>
  <c r="C144" i="31" s="1"/>
  <c r="C145" i="31" s="1"/>
  <c r="C146" i="31" s="1"/>
  <c r="C147" i="31" s="1"/>
  <c r="C148" i="31" s="1"/>
  <c r="C149" i="31" s="1"/>
  <c r="C150" i="31" s="1"/>
  <c r="C151" i="31" s="1"/>
  <c r="C152" i="31" s="1"/>
  <c r="C153" i="31" s="1"/>
  <c r="C154" i="31" s="1"/>
  <c r="D94" i="31"/>
  <c r="D94" i="37"/>
  <c r="D93" i="37"/>
  <c r="D92" i="37"/>
  <c r="D92" i="13"/>
  <c r="J96" i="13" s="1"/>
  <c r="D94" i="13"/>
  <c r="D93" i="3"/>
  <c r="D94" i="3"/>
  <c r="E18" i="44"/>
  <c r="F18" i="44" s="1"/>
  <c r="E19" i="44" s="1"/>
  <c r="E28" i="3"/>
  <c r="F28" i="3" s="1"/>
  <c r="H28" i="3" s="1"/>
  <c r="N6" i="3" s="1"/>
  <c r="D19" i="43"/>
  <c r="F19" i="43" s="1"/>
  <c r="I13" i="13"/>
  <c r="G18" i="13"/>
  <c r="G17" i="13"/>
  <c r="C99" i="40"/>
  <c r="C100" i="40" s="1"/>
  <c r="C101" i="40" s="1"/>
  <c r="C102" i="40" s="1"/>
  <c r="C103" i="40" s="1"/>
  <c r="C104" i="40" s="1"/>
  <c r="C105" i="40" s="1"/>
  <c r="C106" i="40" s="1"/>
  <c r="C107" i="40" s="1"/>
  <c r="C108" i="40" s="1"/>
  <c r="C109" i="40" s="1"/>
  <c r="C110" i="40" s="1"/>
  <c r="C111" i="40" s="1"/>
  <c r="C112" i="40" s="1"/>
  <c r="C113" i="40" s="1"/>
  <c r="C114" i="40" s="1"/>
  <c r="C115" i="40" s="1"/>
  <c r="C116" i="40" s="1"/>
  <c r="C117" i="40" s="1"/>
  <c r="C118" i="40" s="1"/>
  <c r="C119" i="40" s="1"/>
  <c r="C120" i="40" s="1"/>
  <c r="C121" i="40" s="1"/>
  <c r="C122" i="40" s="1"/>
  <c r="C123" i="40" s="1"/>
  <c r="C124" i="40" s="1"/>
  <c r="C125" i="40" s="1"/>
  <c r="C126" i="40" s="1"/>
  <c r="C127" i="40" s="1"/>
  <c r="C128" i="40" s="1"/>
  <c r="C129" i="40" s="1"/>
  <c r="C130" i="40" s="1"/>
  <c r="C131" i="40" s="1"/>
  <c r="C132" i="40" s="1"/>
  <c r="C133" i="40" s="1"/>
  <c r="C134" i="40" s="1"/>
  <c r="C135" i="40" s="1"/>
  <c r="C136" i="40" s="1"/>
  <c r="C137" i="40" s="1"/>
  <c r="C138" i="40" s="1"/>
  <c r="C139" i="40" s="1"/>
  <c r="C140" i="40" s="1"/>
  <c r="C141" i="40" s="1"/>
  <c r="C142" i="40" s="1"/>
  <c r="C143" i="40" s="1"/>
  <c r="C144" i="40" s="1"/>
  <c r="C145" i="40" s="1"/>
  <c r="C146" i="40" s="1"/>
  <c r="C147" i="40" s="1"/>
  <c r="C148" i="40" s="1"/>
  <c r="C149" i="40" s="1"/>
  <c r="C150" i="40" s="1"/>
  <c r="C151" i="40" s="1"/>
  <c r="C152" i="40" s="1"/>
  <c r="C153" i="40" s="1"/>
  <c r="C154" i="40" s="1"/>
  <c r="M89" i="44"/>
  <c r="C99" i="7"/>
  <c r="C100" i="7" s="1"/>
  <c r="C101" i="7" s="1"/>
  <c r="C102" i="7" s="1"/>
  <c r="C103" i="7" s="1"/>
  <c r="C104" i="7" s="1"/>
  <c r="C105" i="7" s="1"/>
  <c r="C106" i="7" s="1"/>
  <c r="C107" i="7" s="1"/>
  <c r="C108" i="7" s="1"/>
  <c r="C109" i="7" s="1"/>
  <c r="C110" i="7" s="1"/>
  <c r="C111" i="7" s="1"/>
  <c r="C112" i="7" s="1"/>
  <c r="C113" i="7" s="1"/>
  <c r="C114" i="7" s="1"/>
  <c r="C115" i="7" s="1"/>
  <c r="C116" i="7" s="1"/>
  <c r="C117" i="7" s="1"/>
  <c r="C118" i="7" s="1"/>
  <c r="C119" i="7" s="1"/>
  <c r="C120" i="7" s="1"/>
  <c r="C121" i="7" s="1"/>
  <c r="C122" i="7" s="1"/>
  <c r="C123" i="7" s="1"/>
  <c r="C124" i="7" s="1"/>
  <c r="C125" i="7" s="1"/>
  <c r="C126" i="7" s="1"/>
  <c r="C127" i="7" s="1"/>
  <c r="C128" i="7" s="1"/>
  <c r="C129" i="7" s="1"/>
  <c r="C130" i="7" s="1"/>
  <c r="C131" i="7" s="1"/>
  <c r="C132" i="7" s="1"/>
  <c r="C133" i="7" s="1"/>
  <c r="C134" i="7" s="1"/>
  <c r="C135" i="7" s="1"/>
  <c r="C136" i="7" s="1"/>
  <c r="C137" i="7" s="1"/>
  <c r="C138" i="7" s="1"/>
  <c r="C139" i="7" s="1"/>
  <c r="C140" i="7" s="1"/>
  <c r="C141" i="7" s="1"/>
  <c r="C142" i="7" s="1"/>
  <c r="C143" i="7" s="1"/>
  <c r="C144" i="7" s="1"/>
  <c r="C145" i="7" s="1"/>
  <c r="C146" i="7" s="1"/>
  <c r="C147" i="7" s="1"/>
  <c r="C148" i="7" s="1"/>
  <c r="C149" i="7" s="1"/>
  <c r="C150" i="7" s="1"/>
  <c r="C151" i="7" s="1"/>
  <c r="C152" i="7" s="1"/>
  <c r="C153" i="7" s="1"/>
  <c r="C154" i="7" s="1"/>
  <c r="L42" i="17"/>
  <c r="L38" i="17"/>
  <c r="L40" i="17"/>
  <c r="L36" i="17"/>
  <c r="L43" i="17"/>
  <c r="L39" i="17"/>
  <c r="L41" i="17"/>
  <c r="L37" i="17"/>
  <c r="L27" i="17"/>
  <c r="L32" i="17"/>
  <c r="L33" i="17"/>
  <c r="L26" i="17"/>
  <c r="L21" i="17"/>
  <c r="L20" i="17"/>
  <c r="L30" i="17"/>
  <c r="L25" i="17"/>
  <c r="L34" i="17"/>
  <c r="L23" i="17"/>
  <c r="L28" i="17"/>
  <c r="L29" i="17"/>
  <c r="L22" i="17"/>
  <c r="L24" i="17"/>
  <c r="L19" i="17"/>
  <c r="L35" i="17"/>
  <c r="L31" i="17"/>
  <c r="D95" i="44"/>
  <c r="D95" i="9"/>
  <c r="J96" i="9" s="1"/>
  <c r="D95" i="30"/>
  <c r="J96" i="30" s="1"/>
  <c r="D95" i="8"/>
  <c r="J96" i="8" s="1"/>
  <c r="D95" i="37"/>
  <c r="D95" i="28"/>
  <c r="J96" i="28" s="1"/>
  <c r="D95" i="22"/>
  <c r="J96" i="22" s="1"/>
  <c r="D95" i="3"/>
  <c r="J96" i="3" s="1"/>
  <c r="D95" i="10"/>
  <c r="J96" i="10" s="1"/>
  <c r="D95" i="5"/>
  <c r="J96" i="5" s="1"/>
  <c r="D95" i="40"/>
  <c r="J96" i="40" s="1"/>
  <c r="D95" i="4"/>
  <c r="J96" i="4" s="1"/>
  <c r="D95" i="31"/>
  <c r="J96" i="31" s="1"/>
  <c r="D95" i="7"/>
  <c r="J96" i="7" s="1"/>
  <c r="D95" i="24"/>
  <c r="J96" i="24" s="1"/>
  <c r="D95" i="27"/>
  <c r="J96" i="27" s="1"/>
  <c r="D95" i="39"/>
  <c r="J96" i="39" s="1"/>
  <c r="D95" i="25"/>
  <c r="J96" i="25" s="1"/>
  <c r="D95" i="11"/>
  <c r="J96" i="11" s="1"/>
  <c r="D95" i="23"/>
  <c r="J96" i="23" s="1"/>
  <c r="D95" i="38"/>
  <c r="D95" i="42"/>
  <c r="D95" i="6"/>
  <c r="J96" i="6" s="1"/>
  <c r="D95" i="41"/>
  <c r="D95" i="43"/>
  <c r="D95" i="29"/>
  <c r="J96" i="29" s="1"/>
  <c r="E103" i="29" s="1"/>
  <c r="D95" i="45"/>
  <c r="D95" i="13"/>
  <c r="O87" i="45"/>
  <c r="O89" i="45" s="1"/>
  <c r="L44" i="17"/>
  <c r="O87" i="3"/>
  <c r="D103" i="29"/>
  <c r="C127" i="5"/>
  <c r="C128" i="5" s="1"/>
  <c r="C129" i="5" s="1"/>
  <c r="C130" i="5" s="1"/>
  <c r="C131" i="5" s="1"/>
  <c r="C132" i="5" s="1"/>
  <c r="C133" i="5" s="1"/>
  <c r="C134" i="5" s="1"/>
  <c r="C135" i="5" s="1"/>
  <c r="C136" i="5" s="1"/>
  <c r="C137" i="5" s="1"/>
  <c r="C138" i="5" s="1"/>
  <c r="C139" i="5" s="1"/>
  <c r="C140" i="5" s="1"/>
  <c r="C141" i="5" s="1"/>
  <c r="C142" i="5" s="1"/>
  <c r="C143" i="5" s="1"/>
  <c r="C144" i="5" s="1"/>
  <c r="C145" i="5" s="1"/>
  <c r="C146" i="5" s="1"/>
  <c r="C147" i="5" s="1"/>
  <c r="C148" i="5" s="1"/>
  <c r="C149" i="5" s="1"/>
  <c r="C150" i="5" s="1"/>
  <c r="C151" i="5" s="1"/>
  <c r="C152" i="5" s="1"/>
  <c r="C153" i="5" s="1"/>
  <c r="C154" i="5" s="1"/>
  <c r="C99" i="23"/>
  <c r="C100" i="23" s="1"/>
  <c r="C101" i="23" s="1"/>
  <c r="C102" i="23" s="1"/>
  <c r="C103" i="23" s="1"/>
  <c r="C104" i="23" s="1"/>
  <c r="C105" i="23" s="1"/>
  <c r="C106" i="23" s="1"/>
  <c r="C107" i="23" s="1"/>
  <c r="C108" i="23" s="1"/>
  <c r="C109" i="23" s="1"/>
  <c r="C110" i="23" s="1"/>
  <c r="C111" i="23" s="1"/>
  <c r="C112" i="23" s="1"/>
  <c r="C113" i="23" s="1"/>
  <c r="C114" i="23" s="1"/>
  <c r="C115" i="23" s="1"/>
  <c r="C116" i="23" s="1"/>
  <c r="C117" i="23" s="1"/>
  <c r="C118" i="23" s="1"/>
  <c r="C119" i="23" s="1"/>
  <c r="C120" i="23" s="1"/>
  <c r="C121" i="23" s="1"/>
  <c r="C122" i="23" s="1"/>
  <c r="C123" i="23" s="1"/>
  <c r="C124" i="23" s="1"/>
  <c r="C125" i="23" s="1"/>
  <c r="C126" i="23" s="1"/>
  <c r="F31" i="7"/>
  <c r="H31" i="7" s="1"/>
  <c r="N6" i="7" s="1"/>
  <c r="B31" i="7"/>
  <c r="E24" i="29"/>
  <c r="I19" i="39"/>
  <c r="J96" i="41"/>
  <c r="B28" i="3"/>
  <c r="B30" i="11"/>
  <c r="F30" i="11"/>
  <c r="H30" i="11" s="1"/>
  <c r="N6" i="11" s="1"/>
  <c r="D103" i="31"/>
  <c r="E103" i="31"/>
  <c r="J96" i="45"/>
  <c r="E99" i="45" s="1"/>
  <c r="B19" i="40"/>
  <c r="F19" i="40"/>
  <c r="G19" i="40" s="1"/>
  <c r="I29" i="11"/>
  <c r="L86" i="13"/>
  <c r="N87" i="13"/>
  <c r="M87" i="13"/>
  <c r="C127" i="10"/>
  <c r="C128" i="10" s="1"/>
  <c r="C129" i="10" s="1"/>
  <c r="C130" i="10" s="1"/>
  <c r="C131" i="10" s="1"/>
  <c r="C132" i="10" s="1"/>
  <c r="C133" i="10" s="1"/>
  <c r="C134" i="10" s="1"/>
  <c r="C135" i="10" s="1"/>
  <c r="C136" i="10" s="1"/>
  <c r="C137" i="10" s="1"/>
  <c r="C138" i="10" s="1"/>
  <c r="C139" i="10" s="1"/>
  <c r="C140" i="10" s="1"/>
  <c r="C141" i="10" s="1"/>
  <c r="C142" i="10" s="1"/>
  <c r="C143" i="10" s="1"/>
  <c r="C144" i="10" s="1"/>
  <c r="C145" i="10" s="1"/>
  <c r="C146" i="10" s="1"/>
  <c r="C147" i="10" s="1"/>
  <c r="C148" i="10" s="1"/>
  <c r="C149" i="10" s="1"/>
  <c r="C150" i="10" s="1"/>
  <c r="C151" i="10" s="1"/>
  <c r="C152" i="10" s="1"/>
  <c r="C153" i="10" s="1"/>
  <c r="C154" i="10" s="1"/>
  <c r="I18" i="40"/>
  <c r="I22" i="29"/>
  <c r="I27" i="3"/>
  <c r="F20" i="39"/>
  <c r="G20" i="39" s="1"/>
  <c r="N5" i="39" s="1"/>
  <c r="B20" i="39"/>
  <c r="E33" i="2"/>
  <c r="E37" i="2" s="1"/>
  <c r="F54" i="2" s="1"/>
  <c r="N5" i="40"/>
  <c r="I27" i="4"/>
  <c r="B28" i="5"/>
  <c r="F20" i="13"/>
  <c r="B20" i="13"/>
  <c r="I18" i="41"/>
  <c r="L86" i="29"/>
  <c r="M87" i="29"/>
  <c r="N87" i="29"/>
  <c r="F55" i="2"/>
  <c r="G23" i="29"/>
  <c r="N5" i="29" s="1"/>
  <c r="F19" i="41"/>
  <c r="G19" i="41" s="1"/>
  <c r="N5" i="41" s="1"/>
  <c r="B19" i="41"/>
  <c r="F18" i="45"/>
  <c r="C99" i="39"/>
  <c r="O87" i="44"/>
  <c r="O89" i="44" s="1"/>
  <c r="N89" i="44"/>
  <c r="O87" i="6"/>
  <c r="I30" i="7"/>
  <c r="H23" i="29"/>
  <c r="N6" i="29" s="1"/>
  <c r="I43" i="17"/>
  <c r="E39" i="17"/>
  <c r="E38" i="17"/>
  <c r="I44" i="17"/>
  <c r="E33" i="17"/>
  <c r="E40" i="17"/>
  <c r="E20" i="17"/>
  <c r="J96" i="38" l="1"/>
  <c r="K17" i="46"/>
  <c r="L17" i="46" s="1"/>
  <c r="N5" i="46"/>
  <c r="H20" i="13"/>
  <c r="D19" i="46"/>
  <c r="E19" i="46"/>
  <c r="G18" i="46"/>
  <c r="H18" i="46"/>
  <c r="I17" i="46"/>
  <c r="M17" i="46"/>
  <c r="N17" i="46" s="1"/>
  <c r="O17" i="46" s="1"/>
  <c r="N6" i="46"/>
  <c r="N7" i="46" s="1"/>
  <c r="D100" i="46"/>
  <c r="E100" i="46" s="1"/>
  <c r="G99" i="46"/>
  <c r="E99" i="13"/>
  <c r="F99" i="13" s="1"/>
  <c r="D100" i="13" s="1"/>
  <c r="B100" i="13" s="1"/>
  <c r="B28" i="4"/>
  <c r="J96" i="44"/>
  <c r="E99" i="44" s="1"/>
  <c r="J96" i="42"/>
  <c r="V44" i="17"/>
  <c r="N17" i="2"/>
  <c r="B19" i="43"/>
  <c r="J96" i="43"/>
  <c r="H20" i="39"/>
  <c r="N6" i="39" s="1"/>
  <c r="N7" i="39" s="1"/>
  <c r="C99" i="43"/>
  <c r="C100" i="43" s="1"/>
  <c r="C101" i="43" s="1"/>
  <c r="C102" i="43" s="1"/>
  <c r="C103" i="43" s="1"/>
  <c r="C104" i="43" s="1"/>
  <c r="C105" i="43" s="1"/>
  <c r="C106" i="43" s="1"/>
  <c r="C107" i="43" s="1"/>
  <c r="C108" i="43" s="1"/>
  <c r="C109" i="43" s="1"/>
  <c r="C110" i="43" s="1"/>
  <c r="C111" i="43" s="1"/>
  <c r="C112" i="43" s="1"/>
  <c r="C113" i="43" s="1"/>
  <c r="C114" i="43" s="1"/>
  <c r="C115" i="43" s="1"/>
  <c r="C116" i="43" s="1"/>
  <c r="C117" i="43" s="1"/>
  <c r="C118" i="43" s="1"/>
  <c r="C119" i="43" s="1"/>
  <c r="C120" i="43" s="1"/>
  <c r="C121" i="43" s="1"/>
  <c r="C122" i="43" s="1"/>
  <c r="C123" i="43" s="1"/>
  <c r="C124" i="43" s="1"/>
  <c r="C125" i="43" s="1"/>
  <c r="C126" i="43" s="1"/>
  <c r="C127" i="43" s="1"/>
  <c r="C128" i="43" s="1"/>
  <c r="C129" i="43" s="1"/>
  <c r="C130" i="43" s="1"/>
  <c r="C131" i="43" s="1"/>
  <c r="C132" i="43" s="1"/>
  <c r="C133" i="43" s="1"/>
  <c r="C134" i="43" s="1"/>
  <c r="C135" i="43" s="1"/>
  <c r="C136" i="43" s="1"/>
  <c r="C137" i="43" s="1"/>
  <c r="C138" i="43" s="1"/>
  <c r="C139" i="43" s="1"/>
  <c r="C140" i="43" s="1"/>
  <c r="C141" i="43" s="1"/>
  <c r="C142" i="43" s="1"/>
  <c r="C143" i="43" s="1"/>
  <c r="C144" i="43" s="1"/>
  <c r="C145" i="43" s="1"/>
  <c r="C146" i="43" s="1"/>
  <c r="C147" i="43" s="1"/>
  <c r="C148" i="43" s="1"/>
  <c r="C149" i="43" s="1"/>
  <c r="C150" i="43" s="1"/>
  <c r="C151" i="43" s="1"/>
  <c r="C152" i="43" s="1"/>
  <c r="C153" i="43" s="1"/>
  <c r="C154" i="43" s="1"/>
  <c r="C99" i="11"/>
  <c r="C100" i="11" s="1"/>
  <c r="C101" i="11" s="1"/>
  <c r="C102" i="11" s="1"/>
  <c r="C103" i="11" s="1"/>
  <c r="C104" i="11" s="1"/>
  <c r="C105" i="11" s="1"/>
  <c r="C106" i="11" s="1"/>
  <c r="C107" i="11" s="1"/>
  <c r="C108" i="11" s="1"/>
  <c r="C109" i="11" s="1"/>
  <c r="C110" i="11" s="1"/>
  <c r="C111" i="11" s="1"/>
  <c r="C112" i="11" s="1"/>
  <c r="C113" i="11" s="1"/>
  <c r="C114" i="11" s="1"/>
  <c r="C115" i="11" s="1"/>
  <c r="C116" i="11" s="1"/>
  <c r="C117" i="11" s="1"/>
  <c r="C118" i="11" s="1"/>
  <c r="C119" i="11" s="1"/>
  <c r="C120" i="11" s="1"/>
  <c r="C121" i="11" s="1"/>
  <c r="C122" i="11" s="1"/>
  <c r="C123" i="11" s="1"/>
  <c r="C124" i="11" s="1"/>
  <c r="C125" i="11" s="1"/>
  <c r="C126" i="11" s="1"/>
  <c r="C127" i="11" s="1"/>
  <c r="C128" i="11" s="1"/>
  <c r="C129" i="11" s="1"/>
  <c r="C130" i="11" s="1"/>
  <c r="C131" i="11" s="1"/>
  <c r="C132" i="11" s="1"/>
  <c r="C133" i="11" s="1"/>
  <c r="C134" i="11" s="1"/>
  <c r="C135" i="11" s="1"/>
  <c r="C136" i="11" s="1"/>
  <c r="C137" i="11" s="1"/>
  <c r="C138" i="11" s="1"/>
  <c r="C139" i="11" s="1"/>
  <c r="C140" i="11" s="1"/>
  <c r="C141" i="11" s="1"/>
  <c r="C142" i="11" s="1"/>
  <c r="C143" i="11" s="1"/>
  <c r="C144" i="11" s="1"/>
  <c r="C145" i="11" s="1"/>
  <c r="C146" i="11" s="1"/>
  <c r="C147" i="11" s="1"/>
  <c r="C148" i="11" s="1"/>
  <c r="C149" i="11" s="1"/>
  <c r="C150" i="11" s="1"/>
  <c r="C151" i="11" s="1"/>
  <c r="C152" i="11" s="1"/>
  <c r="C153" i="11" s="1"/>
  <c r="C154" i="11" s="1"/>
  <c r="I23" i="29"/>
  <c r="G31" i="7"/>
  <c r="J96" i="37"/>
  <c r="E100" i="37" s="1"/>
  <c r="C99" i="44"/>
  <c r="C100" i="44" s="1"/>
  <c r="C101" i="44" s="1"/>
  <c r="C102" i="44" s="1"/>
  <c r="C103" i="44" s="1"/>
  <c r="C104" i="44" s="1"/>
  <c r="C105" i="44" s="1"/>
  <c r="C106" i="44" s="1"/>
  <c r="C107" i="44" s="1"/>
  <c r="C108" i="44" s="1"/>
  <c r="C109" i="44" s="1"/>
  <c r="C110" i="44" s="1"/>
  <c r="C111" i="44" s="1"/>
  <c r="C112" i="44" s="1"/>
  <c r="C113" i="44" s="1"/>
  <c r="C114" i="44" s="1"/>
  <c r="C115" i="44" s="1"/>
  <c r="C116" i="44" s="1"/>
  <c r="C117" i="44" s="1"/>
  <c r="C118" i="44" s="1"/>
  <c r="C119" i="44" s="1"/>
  <c r="C120" i="44" s="1"/>
  <c r="C121" i="44" s="1"/>
  <c r="C122" i="44" s="1"/>
  <c r="C123" i="44" s="1"/>
  <c r="C124" i="44" s="1"/>
  <c r="C125" i="44" s="1"/>
  <c r="C126" i="44" s="1"/>
  <c r="C127" i="44" s="1"/>
  <c r="C128" i="44" s="1"/>
  <c r="C129" i="44" s="1"/>
  <c r="C130" i="44" s="1"/>
  <c r="C131" i="44" s="1"/>
  <c r="C132" i="44" s="1"/>
  <c r="C133" i="44" s="1"/>
  <c r="C134" i="44" s="1"/>
  <c r="C135" i="44" s="1"/>
  <c r="C136" i="44" s="1"/>
  <c r="C137" i="44" s="1"/>
  <c r="C138" i="44" s="1"/>
  <c r="C139" i="44" s="1"/>
  <c r="C140" i="44" s="1"/>
  <c r="C141" i="44" s="1"/>
  <c r="C142" i="44" s="1"/>
  <c r="C143" i="44" s="1"/>
  <c r="C144" i="44" s="1"/>
  <c r="C145" i="44" s="1"/>
  <c r="C146" i="44" s="1"/>
  <c r="C147" i="44" s="1"/>
  <c r="C148" i="44" s="1"/>
  <c r="C149" i="44" s="1"/>
  <c r="C150" i="44" s="1"/>
  <c r="C151" i="44" s="1"/>
  <c r="C152" i="44" s="1"/>
  <c r="C153" i="44" s="1"/>
  <c r="C154" i="44" s="1"/>
  <c r="C99" i="9"/>
  <c r="C100" i="9" s="1"/>
  <c r="C101" i="9" s="1"/>
  <c r="C102" i="9" s="1"/>
  <c r="C103" i="9" s="1"/>
  <c r="C104" i="9" s="1"/>
  <c r="C105" i="9" s="1"/>
  <c r="C106" i="9" s="1"/>
  <c r="C107" i="9" s="1"/>
  <c r="C108" i="9" s="1"/>
  <c r="C109" i="9" s="1"/>
  <c r="C110" i="9" s="1"/>
  <c r="C111" i="9" s="1"/>
  <c r="C112" i="9" s="1"/>
  <c r="C113" i="9" s="1"/>
  <c r="C114" i="9" s="1"/>
  <c r="C115" i="9" s="1"/>
  <c r="C116" i="9" s="1"/>
  <c r="C117" i="9" s="1"/>
  <c r="C118" i="9" s="1"/>
  <c r="C119" i="9" s="1"/>
  <c r="C120" i="9" s="1"/>
  <c r="C121" i="9" s="1"/>
  <c r="C122" i="9" s="1"/>
  <c r="C123" i="9" s="1"/>
  <c r="C124" i="9" s="1"/>
  <c r="C125" i="9" s="1"/>
  <c r="C126" i="9" s="1"/>
  <c r="C127" i="9" s="1"/>
  <c r="C128" i="9" s="1"/>
  <c r="C129" i="9" s="1"/>
  <c r="C130" i="9" s="1"/>
  <c r="C131" i="9" s="1"/>
  <c r="C132" i="9" s="1"/>
  <c r="C133" i="9" s="1"/>
  <c r="C134" i="9" s="1"/>
  <c r="C135" i="9" s="1"/>
  <c r="C136" i="9" s="1"/>
  <c r="C137" i="9" s="1"/>
  <c r="C138" i="9" s="1"/>
  <c r="C139" i="9" s="1"/>
  <c r="C140" i="9" s="1"/>
  <c r="C141" i="9" s="1"/>
  <c r="C142" i="9" s="1"/>
  <c r="C143" i="9" s="1"/>
  <c r="C144" i="9" s="1"/>
  <c r="C145" i="9" s="1"/>
  <c r="C146" i="9" s="1"/>
  <c r="C147" i="9" s="1"/>
  <c r="C148" i="9" s="1"/>
  <c r="C149" i="9" s="1"/>
  <c r="C150" i="9" s="1"/>
  <c r="C151" i="9" s="1"/>
  <c r="C152" i="9" s="1"/>
  <c r="C153" i="9" s="1"/>
  <c r="C154" i="9" s="1"/>
  <c r="C99" i="45"/>
  <c r="F99" i="45" s="1"/>
  <c r="C99" i="3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C99" i="42"/>
  <c r="C99" i="4"/>
  <c r="C100" i="4" s="1"/>
  <c r="C101" i="4" s="1"/>
  <c r="C102" i="4" s="1"/>
  <c r="C103" i="4" s="1"/>
  <c r="C104" i="4" s="1"/>
  <c r="C105" i="4" s="1"/>
  <c r="C106" i="4" s="1"/>
  <c r="C107" i="4" s="1"/>
  <c r="C108" i="4" s="1"/>
  <c r="C109" i="4" s="1"/>
  <c r="C110" i="4" s="1"/>
  <c r="C111" i="4" s="1"/>
  <c r="C112" i="4" s="1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C124" i="4" s="1"/>
  <c r="C125" i="4" s="1"/>
  <c r="C126" i="4" s="1"/>
  <c r="C127" i="4" s="1"/>
  <c r="C128" i="4" s="1"/>
  <c r="C129" i="4" s="1"/>
  <c r="C130" i="4" s="1"/>
  <c r="C131" i="4" s="1"/>
  <c r="C132" i="4" s="1"/>
  <c r="C133" i="4" s="1"/>
  <c r="C134" i="4" s="1"/>
  <c r="C135" i="4" s="1"/>
  <c r="C136" i="4" s="1"/>
  <c r="C137" i="4" s="1"/>
  <c r="C138" i="4" s="1"/>
  <c r="C139" i="4" s="1"/>
  <c r="C140" i="4" s="1"/>
  <c r="C141" i="4" s="1"/>
  <c r="C142" i="4" s="1"/>
  <c r="C143" i="4" s="1"/>
  <c r="C144" i="4" s="1"/>
  <c r="C145" i="4" s="1"/>
  <c r="C146" i="4" s="1"/>
  <c r="C147" i="4" s="1"/>
  <c r="C148" i="4" s="1"/>
  <c r="C149" i="4" s="1"/>
  <c r="C150" i="4" s="1"/>
  <c r="C151" i="4" s="1"/>
  <c r="C152" i="4" s="1"/>
  <c r="C153" i="4" s="1"/>
  <c r="C154" i="4" s="1"/>
  <c r="C99" i="22"/>
  <c r="C100" i="22" s="1"/>
  <c r="C101" i="22" s="1"/>
  <c r="C102" i="22" s="1"/>
  <c r="C103" i="22" s="1"/>
  <c r="C104" i="22" s="1"/>
  <c r="C105" i="22" s="1"/>
  <c r="C106" i="22" s="1"/>
  <c r="C107" i="22" s="1"/>
  <c r="C108" i="22" s="1"/>
  <c r="C109" i="22" s="1"/>
  <c r="C110" i="22" s="1"/>
  <c r="C111" i="22" s="1"/>
  <c r="C112" i="22" s="1"/>
  <c r="C113" i="22" s="1"/>
  <c r="C114" i="22" s="1"/>
  <c r="C115" i="22" s="1"/>
  <c r="C116" i="22" s="1"/>
  <c r="C117" i="22" s="1"/>
  <c r="C118" i="22" s="1"/>
  <c r="C119" i="22" s="1"/>
  <c r="C120" i="22" s="1"/>
  <c r="C121" i="22" s="1"/>
  <c r="C122" i="22" s="1"/>
  <c r="C123" i="22" s="1"/>
  <c r="C124" i="22" s="1"/>
  <c r="C125" i="22" s="1"/>
  <c r="C126" i="22" s="1"/>
  <c r="C127" i="22" s="1"/>
  <c r="C128" i="22" s="1"/>
  <c r="C129" i="22" s="1"/>
  <c r="C130" i="22" s="1"/>
  <c r="C131" i="22" s="1"/>
  <c r="C132" i="22" s="1"/>
  <c r="C133" i="22" s="1"/>
  <c r="C134" i="22" s="1"/>
  <c r="C135" i="22" s="1"/>
  <c r="C136" i="22" s="1"/>
  <c r="C137" i="22" s="1"/>
  <c r="C138" i="22" s="1"/>
  <c r="C139" i="22" s="1"/>
  <c r="C140" i="22" s="1"/>
  <c r="C141" i="22" s="1"/>
  <c r="C142" i="22" s="1"/>
  <c r="C143" i="22" s="1"/>
  <c r="C144" i="22" s="1"/>
  <c r="C145" i="22" s="1"/>
  <c r="C146" i="22" s="1"/>
  <c r="C147" i="22" s="1"/>
  <c r="C148" i="22" s="1"/>
  <c r="C149" i="22" s="1"/>
  <c r="C150" i="22" s="1"/>
  <c r="C151" i="22" s="1"/>
  <c r="C152" i="22" s="1"/>
  <c r="C153" i="22" s="1"/>
  <c r="C154" i="22" s="1"/>
  <c r="C99" i="37"/>
  <c r="C100" i="37" s="1"/>
  <c r="C101" i="37" s="1"/>
  <c r="C102" i="37" s="1"/>
  <c r="C103" i="37" s="1"/>
  <c r="C104" i="37" s="1"/>
  <c r="C105" i="37" s="1"/>
  <c r="C106" i="37" s="1"/>
  <c r="C107" i="37" s="1"/>
  <c r="C108" i="37" s="1"/>
  <c r="C109" i="37" s="1"/>
  <c r="C110" i="37" s="1"/>
  <c r="C111" i="37" s="1"/>
  <c r="C112" i="37" s="1"/>
  <c r="C113" i="37" s="1"/>
  <c r="C114" i="37" s="1"/>
  <c r="C115" i="37" s="1"/>
  <c r="C116" i="37" s="1"/>
  <c r="C117" i="37" s="1"/>
  <c r="C118" i="37" s="1"/>
  <c r="C119" i="37" s="1"/>
  <c r="C120" i="37" s="1"/>
  <c r="C121" i="37" s="1"/>
  <c r="C122" i="37" s="1"/>
  <c r="C123" i="37" s="1"/>
  <c r="C124" i="37" s="1"/>
  <c r="C125" i="37" s="1"/>
  <c r="C126" i="37" s="1"/>
  <c r="C127" i="37" s="1"/>
  <c r="C128" i="37" s="1"/>
  <c r="C129" i="37" s="1"/>
  <c r="C130" i="37" s="1"/>
  <c r="C131" i="37" s="1"/>
  <c r="C132" i="37" s="1"/>
  <c r="C133" i="37" s="1"/>
  <c r="C134" i="37" s="1"/>
  <c r="C135" i="37" s="1"/>
  <c r="C136" i="37" s="1"/>
  <c r="C137" i="37" s="1"/>
  <c r="C138" i="37" s="1"/>
  <c r="C139" i="37" s="1"/>
  <c r="C140" i="37" s="1"/>
  <c r="C141" i="37" s="1"/>
  <c r="C142" i="37" s="1"/>
  <c r="C143" i="37" s="1"/>
  <c r="C144" i="37" s="1"/>
  <c r="C145" i="37" s="1"/>
  <c r="C146" i="37" s="1"/>
  <c r="C147" i="37" s="1"/>
  <c r="C148" i="37" s="1"/>
  <c r="C149" i="37" s="1"/>
  <c r="C150" i="37" s="1"/>
  <c r="C151" i="37" s="1"/>
  <c r="C152" i="37" s="1"/>
  <c r="C153" i="37" s="1"/>
  <c r="C154" i="37" s="1"/>
  <c r="C99" i="25"/>
  <c r="C100" i="25" s="1"/>
  <c r="C101" i="25" s="1"/>
  <c r="C102" i="25" s="1"/>
  <c r="C103" i="25" s="1"/>
  <c r="C104" i="25" s="1"/>
  <c r="C105" i="25" s="1"/>
  <c r="C106" i="25" s="1"/>
  <c r="C107" i="25" s="1"/>
  <c r="C108" i="25" s="1"/>
  <c r="C109" i="25" s="1"/>
  <c r="C110" i="25" s="1"/>
  <c r="C111" i="25" s="1"/>
  <c r="C112" i="25" s="1"/>
  <c r="C113" i="25" s="1"/>
  <c r="C114" i="25" s="1"/>
  <c r="C115" i="25" s="1"/>
  <c r="C116" i="25" s="1"/>
  <c r="C117" i="25" s="1"/>
  <c r="C118" i="25" s="1"/>
  <c r="C119" i="25" s="1"/>
  <c r="C120" i="25" s="1"/>
  <c r="C121" i="25" s="1"/>
  <c r="C122" i="25" s="1"/>
  <c r="C123" i="25" s="1"/>
  <c r="C124" i="25" s="1"/>
  <c r="C125" i="25" s="1"/>
  <c r="C126" i="25" s="1"/>
  <c r="C127" i="25" s="1"/>
  <c r="C128" i="25" s="1"/>
  <c r="C129" i="25" s="1"/>
  <c r="C130" i="25" s="1"/>
  <c r="C131" i="25" s="1"/>
  <c r="C132" i="25" s="1"/>
  <c r="C133" i="25" s="1"/>
  <c r="C134" i="25" s="1"/>
  <c r="C135" i="25" s="1"/>
  <c r="C136" i="25" s="1"/>
  <c r="C137" i="25" s="1"/>
  <c r="C138" i="25" s="1"/>
  <c r="C139" i="25" s="1"/>
  <c r="C140" i="25" s="1"/>
  <c r="C141" i="25" s="1"/>
  <c r="C142" i="25" s="1"/>
  <c r="C143" i="25" s="1"/>
  <c r="C144" i="25" s="1"/>
  <c r="C145" i="25" s="1"/>
  <c r="C146" i="25" s="1"/>
  <c r="C147" i="25" s="1"/>
  <c r="C148" i="25" s="1"/>
  <c r="C149" i="25" s="1"/>
  <c r="C150" i="25" s="1"/>
  <c r="C151" i="25" s="1"/>
  <c r="C152" i="25" s="1"/>
  <c r="C153" i="25" s="1"/>
  <c r="C154" i="25" s="1"/>
  <c r="F53" i="1"/>
  <c r="E30" i="1"/>
  <c r="E33" i="1" s="1"/>
  <c r="E37" i="1" s="1"/>
  <c r="F54" i="1" s="1"/>
  <c r="V43" i="17"/>
  <c r="D30" i="9"/>
  <c r="H17" i="13"/>
  <c r="H18" i="13"/>
  <c r="I18" i="13" s="1"/>
  <c r="H19" i="13"/>
  <c r="D29" i="6"/>
  <c r="I17" i="13"/>
  <c r="H19" i="41"/>
  <c r="N6" i="41" s="1"/>
  <c r="N7" i="41" s="1"/>
  <c r="G20" i="13"/>
  <c r="B23" i="27"/>
  <c r="G18" i="44"/>
  <c r="N5" i="44" s="1"/>
  <c r="D19" i="44"/>
  <c r="H18" i="44"/>
  <c r="N6" i="44" s="1"/>
  <c r="C100" i="39"/>
  <c r="C101" i="39" s="1"/>
  <c r="C102" i="39" s="1"/>
  <c r="C103" i="39" s="1"/>
  <c r="C104" i="39" s="1"/>
  <c r="C105" i="39" s="1"/>
  <c r="C106" i="39" s="1"/>
  <c r="C107" i="39" s="1"/>
  <c r="C108" i="39" s="1"/>
  <c r="C109" i="39" s="1"/>
  <c r="C110" i="39" s="1"/>
  <c r="C111" i="39" s="1"/>
  <c r="C112" i="39" s="1"/>
  <c r="C113" i="39" s="1"/>
  <c r="C114" i="39" s="1"/>
  <c r="C115" i="39" s="1"/>
  <c r="C116" i="39" s="1"/>
  <c r="C117" i="39" s="1"/>
  <c r="C118" i="39" s="1"/>
  <c r="C119" i="39" s="1"/>
  <c r="C120" i="39" s="1"/>
  <c r="C121" i="39" s="1"/>
  <c r="C122" i="39" s="1"/>
  <c r="C123" i="39" s="1"/>
  <c r="C124" i="39" s="1"/>
  <c r="C125" i="39" s="1"/>
  <c r="C126" i="39" s="1"/>
  <c r="C127" i="39" s="1"/>
  <c r="C128" i="39" s="1"/>
  <c r="C129" i="39" s="1"/>
  <c r="C130" i="39" s="1"/>
  <c r="C131" i="39" s="1"/>
  <c r="C132" i="39" s="1"/>
  <c r="C133" i="39" s="1"/>
  <c r="C134" i="39" s="1"/>
  <c r="C135" i="39" s="1"/>
  <c r="C136" i="39" s="1"/>
  <c r="C137" i="39" s="1"/>
  <c r="C138" i="39" s="1"/>
  <c r="C139" i="39" s="1"/>
  <c r="C140" i="39" s="1"/>
  <c r="C141" i="39" s="1"/>
  <c r="C142" i="39" s="1"/>
  <c r="C143" i="39" s="1"/>
  <c r="C144" i="39" s="1"/>
  <c r="C145" i="39" s="1"/>
  <c r="C146" i="39" s="1"/>
  <c r="C147" i="39" s="1"/>
  <c r="C148" i="39" s="1"/>
  <c r="C149" i="39" s="1"/>
  <c r="C150" i="39" s="1"/>
  <c r="C151" i="39" s="1"/>
  <c r="C152" i="39" s="1"/>
  <c r="C153" i="39" s="1"/>
  <c r="C154" i="39" s="1"/>
  <c r="E30" i="9"/>
  <c r="F30" i="9" s="1"/>
  <c r="D99" i="7"/>
  <c r="E29" i="6"/>
  <c r="E109" i="6"/>
  <c r="E110" i="11"/>
  <c r="E105" i="24"/>
  <c r="E100" i="40"/>
  <c r="E102" i="30"/>
  <c r="E111" i="7"/>
  <c r="E108" i="5"/>
  <c r="E103" i="28"/>
  <c r="E100" i="38"/>
  <c r="D100" i="38"/>
  <c r="E106" i="23"/>
  <c r="E108" i="4"/>
  <c r="E108" i="3"/>
  <c r="B103" i="29"/>
  <c r="F103" i="29"/>
  <c r="O87" i="13"/>
  <c r="C127" i="23"/>
  <c r="C128" i="23" s="1"/>
  <c r="C129" i="23" s="1"/>
  <c r="C130" i="23" s="1"/>
  <c r="C131" i="23" s="1"/>
  <c r="C132" i="23" s="1"/>
  <c r="C133" i="23" s="1"/>
  <c r="C134" i="23" s="1"/>
  <c r="C135" i="23" s="1"/>
  <c r="C136" i="23" s="1"/>
  <c r="C137" i="23" s="1"/>
  <c r="C138" i="23" s="1"/>
  <c r="C139" i="23" s="1"/>
  <c r="C140" i="23" s="1"/>
  <c r="C141" i="23" s="1"/>
  <c r="C142" i="23" s="1"/>
  <c r="C143" i="23" s="1"/>
  <c r="C144" i="23" s="1"/>
  <c r="C145" i="23" s="1"/>
  <c r="C146" i="23" s="1"/>
  <c r="C147" i="23" s="1"/>
  <c r="C148" i="23" s="1"/>
  <c r="C149" i="23" s="1"/>
  <c r="C150" i="23" s="1"/>
  <c r="C151" i="23" s="1"/>
  <c r="C152" i="23" s="1"/>
  <c r="C153" i="23" s="1"/>
  <c r="C154" i="23" s="1"/>
  <c r="D29" i="5"/>
  <c r="E29" i="5"/>
  <c r="D25" i="24"/>
  <c r="E25" i="24"/>
  <c r="D29" i="3"/>
  <c r="E29" i="3"/>
  <c r="B24" i="29"/>
  <c r="F24" i="29"/>
  <c r="G24" i="29" s="1"/>
  <c r="G18" i="45"/>
  <c r="N5" i="45" s="1"/>
  <c r="D19" i="45"/>
  <c r="H18" i="45"/>
  <c r="N6" i="45" s="1"/>
  <c r="E19" i="45"/>
  <c r="D21" i="13"/>
  <c r="H19" i="40"/>
  <c r="N6" i="40" s="1"/>
  <c r="N7" i="40" s="1"/>
  <c r="F62" i="2"/>
  <c r="F65" i="2" s="1"/>
  <c r="F67" i="2" s="1"/>
  <c r="F69" i="2" s="1"/>
  <c r="D29" i="8"/>
  <c r="E29" i="8"/>
  <c r="D22" i="30"/>
  <c r="E22" i="30"/>
  <c r="D27" i="22"/>
  <c r="E27" i="22"/>
  <c r="D29" i="4"/>
  <c r="E29" i="4"/>
  <c r="N7" i="29"/>
  <c r="D20" i="38"/>
  <c r="E20" i="38"/>
  <c r="D20" i="43"/>
  <c r="E20" i="43"/>
  <c r="D21" i="39"/>
  <c r="E21" i="39"/>
  <c r="E31" i="11"/>
  <c r="D31" i="11"/>
  <c r="O17" i="2"/>
  <c r="D20" i="41"/>
  <c r="E20" i="41"/>
  <c r="D19" i="42"/>
  <c r="E19" i="42"/>
  <c r="G19" i="43"/>
  <c r="N5" i="43" s="1"/>
  <c r="D27" i="25"/>
  <c r="E27" i="25"/>
  <c r="G28" i="4"/>
  <c r="B103" i="31"/>
  <c r="F103" i="31"/>
  <c r="G30" i="11"/>
  <c r="D32" i="7"/>
  <c r="E32" i="7"/>
  <c r="E100" i="41"/>
  <c r="D20" i="37"/>
  <c r="E20" i="37"/>
  <c r="D26" i="23"/>
  <c r="E26" i="23"/>
  <c r="O87" i="29"/>
  <c r="D31" i="10"/>
  <c r="E31" i="10"/>
  <c r="D20" i="40"/>
  <c r="E20" i="40"/>
  <c r="H19" i="43"/>
  <c r="N6" i="43" s="1"/>
  <c r="H28" i="5"/>
  <c r="N6" i="5" s="1"/>
  <c r="N7" i="5" s="1"/>
  <c r="D23" i="28"/>
  <c r="E23" i="28"/>
  <c r="G28" i="3"/>
  <c r="F20" i="17"/>
  <c r="F38" i="17"/>
  <c r="F39" i="17"/>
  <c r="F45" i="17"/>
  <c r="E42" i="17"/>
  <c r="E43" i="17"/>
  <c r="F40" i="17"/>
  <c r="F33" i="17"/>
  <c r="E44" i="17"/>
  <c r="E45" i="17"/>
  <c r="G99" i="13" l="1"/>
  <c r="N7" i="45"/>
  <c r="I18" i="46"/>
  <c r="N7" i="43"/>
  <c r="F19" i="46"/>
  <c r="H19" i="46" s="1"/>
  <c r="B19" i="46"/>
  <c r="G19" i="46"/>
  <c r="G45" i="17"/>
  <c r="I20" i="13"/>
  <c r="N5" i="13"/>
  <c r="H99" i="46"/>
  <c r="I99" i="46"/>
  <c r="J99" i="46" s="1"/>
  <c r="F55" i="1"/>
  <c r="C100" i="45"/>
  <c r="C101" i="45" s="1"/>
  <c r="C102" i="45" s="1"/>
  <c r="C103" i="45" s="1"/>
  <c r="C104" i="45" s="1"/>
  <c r="C105" i="45" s="1"/>
  <c r="C106" i="45" s="1"/>
  <c r="C107" i="45" s="1"/>
  <c r="C108" i="45" s="1"/>
  <c r="C109" i="45" s="1"/>
  <c r="C110" i="45" s="1"/>
  <c r="C111" i="45" s="1"/>
  <c r="C112" i="45" s="1"/>
  <c r="C113" i="45" s="1"/>
  <c r="C114" i="45" s="1"/>
  <c r="C115" i="45" s="1"/>
  <c r="C116" i="45" s="1"/>
  <c r="C117" i="45" s="1"/>
  <c r="C118" i="45" s="1"/>
  <c r="C119" i="45" s="1"/>
  <c r="C120" i="45" s="1"/>
  <c r="C121" i="45" s="1"/>
  <c r="C122" i="45" s="1"/>
  <c r="C123" i="45" s="1"/>
  <c r="C124" i="45" s="1"/>
  <c r="C125" i="45" s="1"/>
  <c r="C126" i="45" s="1"/>
  <c r="C127" i="45" s="1"/>
  <c r="C128" i="45" s="1"/>
  <c r="C129" i="45" s="1"/>
  <c r="C130" i="45" s="1"/>
  <c r="C131" i="45" s="1"/>
  <c r="C132" i="45" s="1"/>
  <c r="C133" i="45" s="1"/>
  <c r="C134" i="45" s="1"/>
  <c r="C135" i="45" s="1"/>
  <c r="C136" i="45" s="1"/>
  <c r="C137" i="45" s="1"/>
  <c r="C138" i="45" s="1"/>
  <c r="C139" i="45" s="1"/>
  <c r="C140" i="45" s="1"/>
  <c r="C141" i="45" s="1"/>
  <c r="C142" i="45" s="1"/>
  <c r="C143" i="45" s="1"/>
  <c r="C144" i="45" s="1"/>
  <c r="C145" i="45" s="1"/>
  <c r="C146" i="45" s="1"/>
  <c r="C147" i="45" s="1"/>
  <c r="C148" i="45" s="1"/>
  <c r="C149" i="45" s="1"/>
  <c r="C150" i="45" s="1"/>
  <c r="C151" i="45" s="1"/>
  <c r="C152" i="45" s="1"/>
  <c r="C153" i="45" s="1"/>
  <c r="C154" i="45" s="1"/>
  <c r="F100" i="46"/>
  <c r="B100" i="46"/>
  <c r="I20" i="39"/>
  <c r="I30" i="11"/>
  <c r="N5" i="11"/>
  <c r="I31" i="7"/>
  <c r="N5" i="7"/>
  <c r="I28" i="4"/>
  <c r="N5" i="4"/>
  <c r="I28" i="3"/>
  <c r="N5" i="3"/>
  <c r="N7" i="44"/>
  <c r="I19" i="41"/>
  <c r="C100" i="42"/>
  <c r="C101" i="42" s="1"/>
  <c r="C102" i="42" s="1"/>
  <c r="C103" i="42" s="1"/>
  <c r="C104" i="42" s="1"/>
  <c r="C105" i="42" s="1"/>
  <c r="C106" i="42" s="1"/>
  <c r="C107" i="42" s="1"/>
  <c r="C108" i="42" s="1"/>
  <c r="C109" i="42" s="1"/>
  <c r="C110" i="42" s="1"/>
  <c r="C111" i="42" s="1"/>
  <c r="C112" i="42" s="1"/>
  <c r="C113" i="42" s="1"/>
  <c r="C114" i="42" s="1"/>
  <c r="C115" i="42" s="1"/>
  <c r="C116" i="42" s="1"/>
  <c r="C117" i="42" s="1"/>
  <c r="C118" i="42" s="1"/>
  <c r="C119" i="42" s="1"/>
  <c r="C120" i="42" s="1"/>
  <c r="C121" i="42" s="1"/>
  <c r="C122" i="42" s="1"/>
  <c r="C123" i="42" s="1"/>
  <c r="C124" i="42" s="1"/>
  <c r="C125" i="42" s="1"/>
  <c r="C126" i="42" s="1"/>
  <c r="F99" i="44"/>
  <c r="G99" i="44" s="1"/>
  <c r="G39" i="17"/>
  <c r="D100" i="42"/>
  <c r="B100" i="42" s="1"/>
  <c r="F62" i="1"/>
  <c r="F65" i="1" s="1"/>
  <c r="F67" i="1" s="1"/>
  <c r="F69" i="1" s="1"/>
  <c r="F70" i="1" s="1"/>
  <c r="F71" i="1" s="1"/>
  <c r="F56" i="1" s="1"/>
  <c r="F57" i="1" s="1"/>
  <c r="F59" i="1" s="1"/>
  <c r="F79" i="1" s="1"/>
  <c r="F80" i="1" s="1"/>
  <c r="F82" i="1" s="1"/>
  <c r="F76" i="1"/>
  <c r="F77" i="1" s="1"/>
  <c r="E100" i="13"/>
  <c r="F100" i="13" s="1"/>
  <c r="I99" i="13"/>
  <c r="H99" i="13"/>
  <c r="D100" i="44"/>
  <c r="E100" i="44" s="1"/>
  <c r="G38" i="17"/>
  <c r="G40" i="17"/>
  <c r="I23" i="27"/>
  <c r="D31" i="9"/>
  <c r="E31" i="9"/>
  <c r="B19" i="44"/>
  <c r="F19" i="44"/>
  <c r="G19" i="44" s="1"/>
  <c r="B29" i="6"/>
  <c r="F29" i="6"/>
  <c r="G29" i="6" s="1"/>
  <c r="N5" i="6" s="1"/>
  <c r="N6" i="13"/>
  <c r="I19" i="13"/>
  <c r="B30" i="9"/>
  <c r="G30" i="9"/>
  <c r="N5" i="9" s="1"/>
  <c r="H30" i="9"/>
  <c r="N6" i="9" s="1"/>
  <c r="I18" i="44"/>
  <c r="I29" i="9"/>
  <c r="I28" i="6"/>
  <c r="D24" i="27"/>
  <c r="E24" i="27"/>
  <c r="D109" i="8"/>
  <c r="D104" i="27"/>
  <c r="B104" i="27" s="1"/>
  <c r="F100" i="38"/>
  <c r="B100" i="38"/>
  <c r="E110" i="9"/>
  <c r="D110" i="9"/>
  <c r="D107" i="25"/>
  <c r="D107" i="22"/>
  <c r="D108" i="4"/>
  <c r="D108" i="5"/>
  <c r="E107" i="25"/>
  <c r="E107" i="22"/>
  <c r="D105" i="24"/>
  <c r="D106" i="23"/>
  <c r="D111" i="10"/>
  <c r="D109" i="6"/>
  <c r="E109" i="8"/>
  <c r="D108" i="3"/>
  <c r="E104" i="27"/>
  <c r="D100" i="37"/>
  <c r="E111" i="10"/>
  <c r="D103" i="28"/>
  <c r="D111" i="7"/>
  <c r="D102" i="30"/>
  <c r="D100" i="40"/>
  <c r="D110" i="11"/>
  <c r="J102" i="29"/>
  <c r="G103" i="29"/>
  <c r="D104" i="29"/>
  <c r="E104" i="29"/>
  <c r="G20" i="17"/>
  <c r="G33" i="17"/>
  <c r="F22" i="30"/>
  <c r="H22" i="30" s="1"/>
  <c r="N6" i="30" s="1"/>
  <c r="B22" i="30"/>
  <c r="I30" i="10"/>
  <c r="B29" i="4"/>
  <c r="F29" i="4"/>
  <c r="G29" i="4" s="1"/>
  <c r="F25" i="24"/>
  <c r="G25" i="24" s="1"/>
  <c r="N5" i="24" s="1"/>
  <c r="B25" i="24"/>
  <c r="F31" i="10"/>
  <c r="H31" i="10" s="1"/>
  <c r="N6" i="10" s="1"/>
  <c r="B31" i="10"/>
  <c r="F20" i="37"/>
  <c r="G20" i="37" s="1"/>
  <c r="N5" i="37" s="1"/>
  <c r="B20" i="37"/>
  <c r="B21" i="39"/>
  <c r="F21" i="39"/>
  <c r="G21" i="39" s="1"/>
  <c r="F29" i="8"/>
  <c r="H29" i="8" s="1"/>
  <c r="N6" i="8" s="1"/>
  <c r="B29" i="8"/>
  <c r="I19" i="40"/>
  <c r="H24" i="29"/>
  <c r="B29" i="3"/>
  <c r="F29" i="3"/>
  <c r="H29" i="3" s="1"/>
  <c r="I24" i="24"/>
  <c r="D100" i="43"/>
  <c r="E100" i="43"/>
  <c r="B100" i="39"/>
  <c r="B20" i="43"/>
  <c r="F20" i="43"/>
  <c r="H20" i="43" s="1"/>
  <c r="B21" i="13"/>
  <c r="D25" i="29"/>
  <c r="E25" i="29"/>
  <c r="F26" i="23"/>
  <c r="G26" i="23" s="1"/>
  <c r="N5" i="23" s="1"/>
  <c r="B26" i="23"/>
  <c r="I28" i="5"/>
  <c r="J102" i="31"/>
  <c r="B19" i="42"/>
  <c r="F19" i="42"/>
  <c r="H19" i="42" s="1"/>
  <c r="N6" i="42" s="1"/>
  <c r="B31" i="11"/>
  <c r="F31" i="11"/>
  <c r="G31" i="11" s="1"/>
  <c r="F27" i="22"/>
  <c r="G27" i="22" s="1"/>
  <c r="N5" i="22" s="1"/>
  <c r="B27" i="22"/>
  <c r="I28" i="8"/>
  <c r="F29" i="5"/>
  <c r="G29" i="5" s="1"/>
  <c r="B29" i="5"/>
  <c r="I19" i="37"/>
  <c r="B20" i="40"/>
  <c r="F20" i="40"/>
  <c r="H20" i="40" s="1"/>
  <c r="B23" i="28"/>
  <c r="F23" i="28"/>
  <c r="G23" i="28" s="1"/>
  <c r="N5" i="28" s="1"/>
  <c r="I18" i="42"/>
  <c r="B20" i="38"/>
  <c r="F20" i="38"/>
  <c r="G20" i="38" s="1"/>
  <c r="N5" i="38" s="1"/>
  <c r="P17" i="2"/>
  <c r="I25" i="23"/>
  <c r="B32" i="7"/>
  <c r="F32" i="7"/>
  <c r="H32" i="7" s="1"/>
  <c r="D23" i="31"/>
  <c r="E23" i="31"/>
  <c r="B27" i="25"/>
  <c r="F27" i="25"/>
  <c r="G27" i="25" s="1"/>
  <c r="N5" i="25" s="1"/>
  <c r="I26" i="22"/>
  <c r="I18" i="45"/>
  <c r="I19" i="43"/>
  <c r="D104" i="31"/>
  <c r="G103" i="31"/>
  <c r="E104" i="31"/>
  <c r="F70" i="2"/>
  <c r="F71" i="2" s="1"/>
  <c r="F56" i="2" s="1"/>
  <c r="F57" i="2" s="1"/>
  <c r="B19" i="45"/>
  <c r="F19" i="45"/>
  <c r="G19" i="45" s="1"/>
  <c r="I22" i="28"/>
  <c r="G99" i="45"/>
  <c r="D100" i="45"/>
  <c r="D100" i="41"/>
  <c r="I26" i="25"/>
  <c r="F20" i="41"/>
  <c r="H20" i="41" s="1"/>
  <c r="B20" i="41"/>
  <c r="I19" i="38"/>
  <c r="I21" i="30"/>
  <c r="E21" i="13"/>
  <c r="F21" i="13" s="1"/>
  <c r="F44" i="17"/>
  <c r="E22" i="17"/>
  <c r="E29" i="17"/>
  <c r="E27" i="17"/>
  <c r="E26" i="17"/>
  <c r="E18" i="17"/>
  <c r="E19" i="17"/>
  <c r="F42" i="17"/>
  <c r="E32" i="17"/>
  <c r="E36" i="17"/>
  <c r="E24" i="17"/>
  <c r="E30" i="17"/>
  <c r="E37" i="17"/>
  <c r="E21" i="17"/>
  <c r="F43" i="17"/>
  <c r="E28" i="17"/>
  <c r="G44" i="17" l="1"/>
  <c r="G42" i="17"/>
  <c r="I19" i="46"/>
  <c r="N7" i="9"/>
  <c r="N7" i="13"/>
  <c r="D20" i="46"/>
  <c r="E20" i="46"/>
  <c r="D101" i="46"/>
  <c r="E101" i="46" s="1"/>
  <c r="G100" i="46"/>
  <c r="N7" i="11"/>
  <c r="I30" i="9"/>
  <c r="N7" i="7"/>
  <c r="N7" i="4"/>
  <c r="N7" i="3"/>
  <c r="G43" i="17"/>
  <c r="C127" i="42"/>
  <c r="C128" i="42" s="1"/>
  <c r="C129" i="42" s="1"/>
  <c r="C130" i="42" s="1"/>
  <c r="C131" i="42" s="1"/>
  <c r="C132" i="42" s="1"/>
  <c r="C133" i="42" s="1"/>
  <c r="C134" i="42" s="1"/>
  <c r="C135" i="42" s="1"/>
  <c r="C136" i="42" s="1"/>
  <c r="C137" i="42" s="1"/>
  <c r="C138" i="42" s="1"/>
  <c r="C139" i="42" s="1"/>
  <c r="C140" i="42" s="1"/>
  <c r="C141" i="42" s="1"/>
  <c r="C142" i="42" s="1"/>
  <c r="C143" i="42" s="1"/>
  <c r="C144" i="42" s="1"/>
  <c r="C145" i="42" s="1"/>
  <c r="C146" i="42" s="1"/>
  <c r="C147" i="42" s="1"/>
  <c r="C148" i="42" s="1"/>
  <c r="C149" i="42" s="1"/>
  <c r="C150" i="42" s="1"/>
  <c r="C151" i="42" s="1"/>
  <c r="C152" i="42" s="1"/>
  <c r="C153" i="42" s="1"/>
  <c r="C154" i="42" s="1"/>
  <c r="G22" i="30"/>
  <c r="N5" i="30" s="1"/>
  <c r="H25" i="24"/>
  <c r="N6" i="24" s="1"/>
  <c r="N7" i="24" s="1"/>
  <c r="E100" i="42"/>
  <c r="F100" i="42" s="1"/>
  <c r="G20" i="43"/>
  <c r="I20" i="43" s="1"/>
  <c r="H23" i="28"/>
  <c r="H27" i="22"/>
  <c r="J99" i="13"/>
  <c r="I99" i="44"/>
  <c r="H99" i="44"/>
  <c r="D101" i="13"/>
  <c r="G100" i="13"/>
  <c r="N88" i="42"/>
  <c r="G32" i="7"/>
  <c r="I32" i="7" s="1"/>
  <c r="B100" i="44"/>
  <c r="F100" i="44"/>
  <c r="H19" i="45"/>
  <c r="I19" i="45" s="1"/>
  <c r="G31" i="10"/>
  <c r="B24" i="27"/>
  <c r="F24" i="27"/>
  <c r="G24" i="27" s="1"/>
  <c r="N5" i="27" s="1"/>
  <c r="F31" i="9"/>
  <c r="G31" i="9" s="1"/>
  <c r="B31" i="9"/>
  <c r="G29" i="3"/>
  <c r="I29" i="3" s="1"/>
  <c r="G29" i="8"/>
  <c r="H21" i="39"/>
  <c r="I21" i="39" s="1"/>
  <c r="H29" i="4"/>
  <c r="I29" i="4" s="1"/>
  <c r="H19" i="44"/>
  <c r="I19" i="44" s="1"/>
  <c r="D20" i="44"/>
  <c r="E20" i="44"/>
  <c r="H29" i="5"/>
  <c r="I29" i="5" s="1"/>
  <c r="G19" i="42"/>
  <c r="H29" i="6"/>
  <c r="E30" i="6"/>
  <c r="D30" i="6"/>
  <c r="N88" i="40"/>
  <c r="M88" i="40"/>
  <c r="M89" i="40" s="1"/>
  <c r="B109" i="6"/>
  <c r="F109" i="6"/>
  <c r="B100" i="40"/>
  <c r="F100" i="40"/>
  <c r="B111" i="7"/>
  <c r="F111" i="7"/>
  <c r="B100" i="37"/>
  <c r="F100" i="37"/>
  <c r="B108" i="3"/>
  <c r="F108" i="3"/>
  <c r="B111" i="10"/>
  <c r="F111" i="10"/>
  <c r="F107" i="25"/>
  <c r="B107" i="25"/>
  <c r="F103" i="28"/>
  <c r="B103" i="28"/>
  <c r="F105" i="24"/>
  <c r="B105" i="24"/>
  <c r="F108" i="5"/>
  <c r="B108" i="5"/>
  <c r="F108" i="4"/>
  <c r="B108" i="4"/>
  <c r="F109" i="8"/>
  <c r="B109" i="8"/>
  <c r="B110" i="11"/>
  <c r="F110" i="11"/>
  <c r="B102" i="30"/>
  <c r="F102" i="30"/>
  <c r="F104" i="27"/>
  <c r="B106" i="23"/>
  <c r="F106" i="23"/>
  <c r="J99" i="38"/>
  <c r="F107" i="22"/>
  <c r="B107" i="22"/>
  <c r="F110" i="9"/>
  <c r="B110" i="9"/>
  <c r="D101" i="38"/>
  <c r="E101" i="38"/>
  <c r="G100" i="38"/>
  <c r="F104" i="29"/>
  <c r="B104" i="29"/>
  <c r="I103" i="29"/>
  <c r="N88" i="29" s="1"/>
  <c r="H103" i="29"/>
  <c r="M88" i="29" s="1"/>
  <c r="M89" i="29" s="1"/>
  <c r="D22" i="13"/>
  <c r="E22" i="13" s="1"/>
  <c r="H21" i="13"/>
  <c r="G21" i="13"/>
  <c r="F59" i="2"/>
  <c r="F79" i="2" s="1"/>
  <c r="F80" i="2" s="1"/>
  <c r="F82" i="2" s="1"/>
  <c r="F76" i="2"/>
  <c r="F77" i="2" s="1"/>
  <c r="D21" i="38"/>
  <c r="E21" i="38"/>
  <c r="D21" i="37"/>
  <c r="E21" i="37"/>
  <c r="D22" i="39"/>
  <c r="E22" i="39"/>
  <c r="I22" i="31"/>
  <c r="D26" i="24"/>
  <c r="E26" i="24"/>
  <c r="M88" i="41"/>
  <c r="M89" i="41" s="1"/>
  <c r="N88" i="41"/>
  <c r="F104" i="31"/>
  <c r="B104" i="31"/>
  <c r="B100" i="45"/>
  <c r="D20" i="45"/>
  <c r="E20" i="45"/>
  <c r="D30" i="5"/>
  <c r="E30" i="5"/>
  <c r="H26" i="23"/>
  <c r="N6" i="23" s="1"/>
  <c r="N7" i="23" s="1"/>
  <c r="D101" i="39"/>
  <c r="E101" i="39"/>
  <c r="B100" i="43"/>
  <c r="F100" i="43"/>
  <c r="E100" i="45"/>
  <c r="F100" i="45" s="1"/>
  <c r="D21" i="41"/>
  <c r="E21" i="41"/>
  <c r="H99" i="45"/>
  <c r="I99" i="45"/>
  <c r="E21" i="40"/>
  <c r="D21" i="40"/>
  <c r="N88" i="43"/>
  <c r="M88" i="43"/>
  <c r="M89" i="43" s="1"/>
  <c r="J99" i="39"/>
  <c r="D23" i="30"/>
  <c r="E23" i="30"/>
  <c r="F100" i="41"/>
  <c r="B100" i="41"/>
  <c r="D20" i="42"/>
  <c r="E20" i="42"/>
  <c r="I24" i="29"/>
  <c r="G20" i="41"/>
  <c r="I20" i="41" s="1"/>
  <c r="E32" i="11"/>
  <c r="D32" i="11"/>
  <c r="D27" i="23"/>
  <c r="E27" i="23"/>
  <c r="F25" i="29"/>
  <c r="G25" i="29" s="1"/>
  <c r="B25" i="29"/>
  <c r="E30" i="3"/>
  <c r="D30" i="3"/>
  <c r="I103" i="31"/>
  <c r="N88" i="31" s="1"/>
  <c r="N89" i="31" s="1"/>
  <c r="H103" i="31"/>
  <c r="M88" i="31" s="1"/>
  <c r="M89" i="31" s="1"/>
  <c r="D28" i="25"/>
  <c r="E28" i="25"/>
  <c r="E33" i="7"/>
  <c r="D33" i="7"/>
  <c r="D24" i="28"/>
  <c r="E24" i="28"/>
  <c r="G20" i="40"/>
  <c r="D28" i="22"/>
  <c r="E28" i="22"/>
  <c r="D21" i="43"/>
  <c r="E21" i="43"/>
  <c r="D30" i="8"/>
  <c r="E30" i="8"/>
  <c r="H20" i="37"/>
  <c r="N6" i="37" s="1"/>
  <c r="N7" i="37" s="1"/>
  <c r="D32" i="10"/>
  <c r="E32" i="10"/>
  <c r="H27" i="25"/>
  <c r="N6" i="25" s="1"/>
  <c r="N7" i="25" s="1"/>
  <c r="F23" i="31"/>
  <c r="G23" i="31" s="1"/>
  <c r="N5" i="31" s="1"/>
  <c r="B23" i="31"/>
  <c r="H20" i="38"/>
  <c r="N6" i="38" s="1"/>
  <c r="N7" i="38" s="1"/>
  <c r="I20" i="40"/>
  <c r="H31" i="11"/>
  <c r="D30" i="4"/>
  <c r="E30" i="4"/>
  <c r="I35" i="17"/>
  <c r="I39" i="17"/>
  <c r="F37" i="17"/>
  <c r="F19" i="17"/>
  <c r="F24" i="17"/>
  <c r="F29" i="17"/>
  <c r="F18" i="17"/>
  <c r="I33" i="17"/>
  <c r="I42" i="17"/>
  <c r="F22" i="17"/>
  <c r="E35" i="17"/>
  <c r="F28" i="17"/>
  <c r="I40" i="17"/>
  <c r="F30" i="17"/>
  <c r="E34" i="17"/>
  <c r="E31" i="17"/>
  <c r="F26" i="17"/>
  <c r="F36" i="17"/>
  <c r="G24" i="17" l="1"/>
  <c r="I25" i="24"/>
  <c r="F20" i="46"/>
  <c r="H20" i="46" s="1"/>
  <c r="B20" i="46"/>
  <c r="O88" i="29"/>
  <c r="O89" i="29" s="1"/>
  <c r="H100" i="46"/>
  <c r="I100" i="46"/>
  <c r="J100" i="46" s="1"/>
  <c r="B101" i="46"/>
  <c r="F101" i="46"/>
  <c r="I22" i="30"/>
  <c r="N7" i="30"/>
  <c r="I23" i="28"/>
  <c r="N6" i="28"/>
  <c r="N7" i="28" s="1"/>
  <c r="G30" i="17"/>
  <c r="I27" i="22"/>
  <c r="N6" i="22"/>
  <c r="N7" i="22" s="1"/>
  <c r="G26" i="17"/>
  <c r="I31" i="10"/>
  <c r="N5" i="10"/>
  <c r="I29" i="8"/>
  <c r="N5" i="8"/>
  <c r="G22" i="17"/>
  <c r="I29" i="6"/>
  <c r="N6" i="6"/>
  <c r="N7" i="6" s="1"/>
  <c r="G19" i="17"/>
  <c r="G18" i="17"/>
  <c r="V35" i="17"/>
  <c r="V33" i="17"/>
  <c r="V39" i="17"/>
  <c r="O88" i="31"/>
  <c r="O89" i="31" s="1"/>
  <c r="O88" i="40"/>
  <c r="O89" i="40" s="1"/>
  <c r="N89" i="40"/>
  <c r="N89" i="29"/>
  <c r="V42" i="17"/>
  <c r="N89" i="43"/>
  <c r="O88" i="43"/>
  <c r="O89" i="43" s="1"/>
  <c r="I19" i="42"/>
  <c r="N5" i="42"/>
  <c r="N89" i="42"/>
  <c r="J99" i="42"/>
  <c r="M88" i="42"/>
  <c r="M89" i="42" s="1"/>
  <c r="V40" i="17"/>
  <c r="N89" i="41"/>
  <c r="O88" i="41"/>
  <c r="O89" i="41" s="1"/>
  <c r="J99" i="40"/>
  <c r="H23" i="31"/>
  <c r="J103" i="29"/>
  <c r="G28" i="17"/>
  <c r="G37" i="17"/>
  <c r="H31" i="9"/>
  <c r="I31" i="9" s="1"/>
  <c r="G100" i="42"/>
  <c r="D101" i="42"/>
  <c r="G100" i="44"/>
  <c r="D101" i="44"/>
  <c r="J99" i="44"/>
  <c r="H100" i="13"/>
  <c r="I100" i="13"/>
  <c r="E101" i="13"/>
  <c r="F101" i="13" s="1"/>
  <c r="B101" i="13"/>
  <c r="G36" i="17"/>
  <c r="D25" i="27"/>
  <c r="E25" i="27"/>
  <c r="B30" i="6"/>
  <c r="F30" i="6"/>
  <c r="G30" i="6" s="1"/>
  <c r="D32" i="9"/>
  <c r="E32" i="9"/>
  <c r="H24" i="27"/>
  <c r="B20" i="44"/>
  <c r="F20" i="44"/>
  <c r="H20" i="44" s="1"/>
  <c r="G110" i="11"/>
  <c r="E111" i="11"/>
  <c r="D111" i="11"/>
  <c r="J107" i="5"/>
  <c r="G100" i="37"/>
  <c r="D101" i="37"/>
  <c r="E101" i="37"/>
  <c r="J110" i="7"/>
  <c r="F101" i="38"/>
  <c r="B101" i="38"/>
  <c r="G107" i="22"/>
  <c r="D108" i="22"/>
  <c r="E108" i="22"/>
  <c r="J108" i="6"/>
  <c r="G108" i="5"/>
  <c r="D109" i="5"/>
  <c r="E109" i="5"/>
  <c r="D104" i="28"/>
  <c r="B104" i="28" s="1"/>
  <c r="G103" i="28"/>
  <c r="E104" i="28"/>
  <c r="E108" i="25"/>
  <c r="G107" i="25"/>
  <c r="D108" i="25"/>
  <c r="J102" i="28"/>
  <c r="J109" i="11"/>
  <c r="G111" i="10"/>
  <c r="D112" i="10"/>
  <c r="B112" i="10" s="1"/>
  <c r="E112" i="10"/>
  <c r="E101" i="40"/>
  <c r="G100" i="40"/>
  <c r="D101" i="40"/>
  <c r="G109" i="6"/>
  <c r="D110" i="6"/>
  <c r="E110" i="6"/>
  <c r="J108" i="8"/>
  <c r="G102" i="30"/>
  <c r="D103" i="30"/>
  <c r="E103" i="30"/>
  <c r="J107" i="4"/>
  <c r="J104" i="24"/>
  <c r="D109" i="3"/>
  <c r="G108" i="3"/>
  <c r="E109" i="3"/>
  <c r="G111" i="7"/>
  <c r="D112" i="7"/>
  <c r="E112" i="7"/>
  <c r="J109" i="9"/>
  <c r="J105" i="23"/>
  <c r="J107" i="3"/>
  <c r="J106" i="25"/>
  <c r="J110" i="10"/>
  <c r="J106" i="22"/>
  <c r="I100" i="38"/>
  <c r="N88" i="38" s="1"/>
  <c r="H100" i="38"/>
  <c r="M88" i="38" s="1"/>
  <c r="M89" i="38" s="1"/>
  <c r="G110" i="9"/>
  <c r="D111" i="9"/>
  <c r="E111" i="9"/>
  <c r="D107" i="23"/>
  <c r="E107" i="23"/>
  <c r="G106" i="23"/>
  <c r="D105" i="27"/>
  <c r="G104" i="27"/>
  <c r="E105" i="27"/>
  <c r="G109" i="8"/>
  <c r="D110" i="8"/>
  <c r="E110" i="8"/>
  <c r="D109" i="4"/>
  <c r="E109" i="4"/>
  <c r="G108" i="4"/>
  <c r="G105" i="24"/>
  <c r="D106" i="24"/>
  <c r="E106" i="24"/>
  <c r="J99" i="37"/>
  <c r="J101" i="30"/>
  <c r="J103" i="27"/>
  <c r="D105" i="29"/>
  <c r="B105" i="29" s="1"/>
  <c r="G104" i="29"/>
  <c r="E105" i="29"/>
  <c r="G29" i="17"/>
  <c r="G100" i="45"/>
  <c r="D101" i="45"/>
  <c r="E101" i="45" s="1"/>
  <c r="F21" i="43"/>
  <c r="G21" i="43" s="1"/>
  <c r="B21" i="43"/>
  <c r="B26" i="24"/>
  <c r="F26" i="24"/>
  <c r="F32" i="10"/>
  <c r="B32" i="10"/>
  <c r="B33" i="7"/>
  <c r="F33" i="7"/>
  <c r="G33" i="7" s="1"/>
  <c r="I26" i="23"/>
  <c r="B27" i="23"/>
  <c r="F27" i="23"/>
  <c r="G27" i="23" s="1"/>
  <c r="F21" i="41"/>
  <c r="H21" i="41" s="1"/>
  <c r="B21" i="41"/>
  <c r="D24" i="31"/>
  <c r="E24" i="31"/>
  <c r="I27" i="25"/>
  <c r="I20" i="37"/>
  <c r="B24" i="28"/>
  <c r="F24" i="28"/>
  <c r="F101" i="39"/>
  <c r="B101" i="39"/>
  <c r="J99" i="41"/>
  <c r="B20" i="45"/>
  <c r="F20" i="45"/>
  <c r="H20" i="45" s="1"/>
  <c r="I20" i="38"/>
  <c r="F30" i="4"/>
  <c r="G30" i="4" s="1"/>
  <c r="B30" i="4"/>
  <c r="M88" i="39"/>
  <c r="M89" i="39" s="1"/>
  <c r="N88" i="39"/>
  <c r="I21" i="13"/>
  <c r="G100" i="41"/>
  <c r="D101" i="41"/>
  <c r="E101" i="41"/>
  <c r="F21" i="37"/>
  <c r="G21" i="37" s="1"/>
  <c r="B21" i="37"/>
  <c r="B30" i="5"/>
  <c r="F30" i="5"/>
  <c r="G104" i="31"/>
  <c r="E105" i="31"/>
  <c r="D105" i="31"/>
  <c r="J103" i="31"/>
  <c r="B23" i="30"/>
  <c r="F23" i="30"/>
  <c r="G23" i="30" s="1"/>
  <c r="F20" i="42"/>
  <c r="B20" i="42"/>
  <c r="B28" i="25"/>
  <c r="F28" i="25"/>
  <c r="G28" i="25" s="1"/>
  <c r="B21" i="40"/>
  <c r="F21" i="40"/>
  <c r="G21" i="40" s="1"/>
  <c r="F30" i="3"/>
  <c r="B30" i="3"/>
  <c r="J99" i="43"/>
  <c r="B32" i="11"/>
  <c r="F32" i="11"/>
  <c r="H32" i="11" s="1"/>
  <c r="F30" i="8"/>
  <c r="H30" i="8" s="1"/>
  <c r="B30" i="8"/>
  <c r="D26" i="29"/>
  <c r="E26" i="29"/>
  <c r="I31" i="11"/>
  <c r="B28" i="22"/>
  <c r="F28" i="22"/>
  <c r="G28" i="22" s="1"/>
  <c r="H25" i="29"/>
  <c r="J99" i="45"/>
  <c r="G100" i="43"/>
  <c r="D101" i="43"/>
  <c r="E101" i="43"/>
  <c r="B22" i="39"/>
  <c r="F22" i="39"/>
  <c r="H22" i="39" s="1"/>
  <c r="B21" i="38"/>
  <c r="F21" i="38"/>
  <c r="H21" i="38" s="1"/>
  <c r="F22" i="13"/>
  <c r="B22" i="13"/>
  <c r="F32" i="17"/>
  <c r="I37" i="17"/>
  <c r="E41" i="17"/>
  <c r="E25" i="17"/>
  <c r="E23" i="17"/>
  <c r="F34" i="17"/>
  <c r="I38" i="17"/>
  <c r="F27" i="17"/>
  <c r="I41" i="17"/>
  <c r="F21" i="17"/>
  <c r="J100" i="13" l="1"/>
  <c r="G20" i="46"/>
  <c r="I20" i="46" s="1"/>
  <c r="D21" i="46"/>
  <c r="E21" i="46"/>
  <c r="D102" i="46"/>
  <c r="G101" i="46"/>
  <c r="I23" i="31"/>
  <c r="N6" i="31"/>
  <c r="N7" i="31" s="1"/>
  <c r="G34" i="17"/>
  <c r="G32" i="17"/>
  <c r="I24" i="27"/>
  <c r="N6" i="27"/>
  <c r="G27" i="17"/>
  <c r="N7" i="10"/>
  <c r="N7" i="8"/>
  <c r="G21" i="17"/>
  <c r="O88" i="39"/>
  <c r="O89" i="39" s="1"/>
  <c r="E47" i="17"/>
  <c r="N7" i="42"/>
  <c r="M19" i="1"/>
  <c r="V41" i="17"/>
  <c r="O88" i="42"/>
  <c r="O89" i="42" s="1"/>
  <c r="V38" i="17"/>
  <c r="N89" i="39"/>
  <c r="V37" i="17"/>
  <c r="N89" i="38"/>
  <c r="O88" i="38"/>
  <c r="O89" i="38" s="1"/>
  <c r="G21" i="41"/>
  <c r="I21" i="41" s="1"/>
  <c r="H21" i="37"/>
  <c r="I21" i="37" s="1"/>
  <c r="F105" i="29"/>
  <c r="I100" i="42"/>
  <c r="H100" i="42"/>
  <c r="B101" i="42"/>
  <c r="E101" i="42"/>
  <c r="F101" i="42" s="1"/>
  <c r="G101" i="13"/>
  <c r="D102" i="13"/>
  <c r="H21" i="40"/>
  <c r="I21" i="40" s="1"/>
  <c r="E101" i="44"/>
  <c r="F101" i="44" s="1"/>
  <c r="B101" i="44"/>
  <c r="I100" i="44"/>
  <c r="H100" i="44"/>
  <c r="G20" i="44"/>
  <c r="I20" i="44" s="1"/>
  <c r="F25" i="27"/>
  <c r="G25" i="27" s="1"/>
  <c r="B25" i="27"/>
  <c r="D31" i="6"/>
  <c r="E31" i="6"/>
  <c r="G21" i="38"/>
  <c r="I21" i="38" s="1"/>
  <c r="G22" i="39"/>
  <c r="I22" i="39" s="1"/>
  <c r="H28" i="22"/>
  <c r="I28" i="22" s="1"/>
  <c r="E21" i="44"/>
  <c r="D21" i="44"/>
  <c r="B32" i="9"/>
  <c r="F32" i="9"/>
  <c r="G32" i="9" s="1"/>
  <c r="H30" i="6"/>
  <c r="I30" i="6" s="1"/>
  <c r="H105" i="24"/>
  <c r="M88" i="24" s="1"/>
  <c r="M89" i="24" s="1"/>
  <c r="I105" i="24"/>
  <c r="N88" i="24" s="1"/>
  <c r="I104" i="27"/>
  <c r="N88" i="27" s="1"/>
  <c r="H104" i="27"/>
  <c r="M88" i="27" s="1"/>
  <c r="M89" i="27" s="1"/>
  <c r="F107" i="23"/>
  <c r="B107" i="23"/>
  <c r="H111" i="7"/>
  <c r="M88" i="7" s="1"/>
  <c r="M89" i="7" s="1"/>
  <c r="I111" i="7"/>
  <c r="F101" i="40"/>
  <c r="B101" i="40"/>
  <c r="N89" i="27"/>
  <c r="O88" i="27"/>
  <c r="O89" i="27" s="1"/>
  <c r="I108" i="4"/>
  <c r="N88" i="4" s="1"/>
  <c r="N89" i="4" s="1"/>
  <c r="H108" i="4"/>
  <c r="M88" i="4" s="1"/>
  <c r="M89" i="4" s="1"/>
  <c r="F110" i="8"/>
  <c r="B110" i="8"/>
  <c r="B105" i="27"/>
  <c r="F105" i="27"/>
  <c r="J100" i="38"/>
  <c r="O88" i="24"/>
  <c r="O89" i="24" s="1"/>
  <c r="N89" i="24"/>
  <c r="F103" i="30"/>
  <c r="B103" i="30"/>
  <c r="H100" i="40"/>
  <c r="I100" i="40"/>
  <c r="H111" i="10"/>
  <c r="M88" i="10" s="1"/>
  <c r="M89" i="10" s="1"/>
  <c r="I111" i="10"/>
  <c r="F104" i="28"/>
  <c r="F109" i="5"/>
  <c r="B109" i="5"/>
  <c r="D102" i="38"/>
  <c r="E102" i="38"/>
  <c r="G101" i="38"/>
  <c r="B101" i="37"/>
  <c r="F101" i="37"/>
  <c r="B111" i="11"/>
  <c r="F111" i="11"/>
  <c r="I109" i="8"/>
  <c r="N88" i="8" s="1"/>
  <c r="O88" i="8" s="1"/>
  <c r="O89" i="8" s="1"/>
  <c r="H109" i="8"/>
  <c r="M88" i="8" s="1"/>
  <c r="M89" i="8" s="1"/>
  <c r="I106" i="23"/>
  <c r="N88" i="23" s="1"/>
  <c r="H106" i="23"/>
  <c r="M88" i="23" s="1"/>
  <c r="M89" i="23" s="1"/>
  <c r="B111" i="9"/>
  <c r="F111" i="9"/>
  <c r="N89" i="23"/>
  <c r="H108" i="3"/>
  <c r="M88" i="3" s="1"/>
  <c r="M89" i="3" s="1"/>
  <c r="I108" i="3"/>
  <c r="N88" i="3" s="1"/>
  <c r="N89" i="3" s="1"/>
  <c r="I102" i="30"/>
  <c r="N88" i="30" s="1"/>
  <c r="H102" i="30"/>
  <c r="M88" i="30" s="1"/>
  <c r="M89" i="30" s="1"/>
  <c r="F110" i="6"/>
  <c r="B110" i="6"/>
  <c r="F108" i="25"/>
  <c r="B108" i="25"/>
  <c r="H103" i="28"/>
  <c r="M88" i="28" s="1"/>
  <c r="M89" i="28" s="1"/>
  <c r="I103" i="28"/>
  <c r="N88" i="28" s="1"/>
  <c r="O88" i="28" s="1"/>
  <c r="O89" i="28" s="1"/>
  <c r="H108" i="5"/>
  <c r="M89" i="5" s="1"/>
  <c r="I108" i="5"/>
  <c r="B108" i="22"/>
  <c r="F108" i="22"/>
  <c r="I100" i="37"/>
  <c r="N88" i="37" s="1"/>
  <c r="H100" i="37"/>
  <c r="M88" i="37" s="1"/>
  <c r="M89" i="37" s="1"/>
  <c r="N89" i="30"/>
  <c r="F106" i="24"/>
  <c r="B106" i="24"/>
  <c r="F109" i="4"/>
  <c r="B109" i="4"/>
  <c r="H110" i="9"/>
  <c r="M88" i="9" s="1"/>
  <c r="M89" i="9" s="1"/>
  <c r="I110" i="9"/>
  <c r="B112" i="7"/>
  <c r="F112" i="7"/>
  <c r="B109" i="3"/>
  <c r="F109" i="3"/>
  <c r="I109" i="6"/>
  <c r="N88" i="6" s="1"/>
  <c r="H109" i="6"/>
  <c r="M88" i="6" s="1"/>
  <c r="M89" i="6" s="1"/>
  <c r="F112" i="10"/>
  <c r="H107" i="25"/>
  <c r="M88" i="25" s="1"/>
  <c r="M89" i="25" s="1"/>
  <c r="I107" i="25"/>
  <c r="N88" i="25" s="1"/>
  <c r="O88" i="25" s="1"/>
  <c r="O89" i="25" s="1"/>
  <c r="I107" i="22"/>
  <c r="H107" i="22"/>
  <c r="M88" i="22" s="1"/>
  <c r="M89" i="22" s="1"/>
  <c r="N89" i="5"/>
  <c r="O88" i="5"/>
  <c r="O89" i="5" s="1"/>
  <c r="H110" i="11"/>
  <c r="M88" i="11" s="1"/>
  <c r="M89" i="11" s="1"/>
  <c r="I110" i="11"/>
  <c r="N88" i="11" s="1"/>
  <c r="E106" i="29"/>
  <c r="G105" i="29"/>
  <c r="D106" i="29"/>
  <c r="I104" i="29"/>
  <c r="H104" i="29"/>
  <c r="E31" i="3"/>
  <c r="D31" i="3"/>
  <c r="B26" i="29"/>
  <c r="F26" i="29"/>
  <c r="G26" i="29" s="1"/>
  <c r="D24" i="30"/>
  <c r="E24" i="30"/>
  <c r="F101" i="43"/>
  <c r="B101" i="43"/>
  <c r="G30" i="8"/>
  <c r="I30" i="8" s="1"/>
  <c r="G30" i="3"/>
  <c r="D21" i="42"/>
  <c r="E21" i="42"/>
  <c r="G101" i="39"/>
  <c r="D102" i="39"/>
  <c r="E102" i="39"/>
  <c r="D25" i="28"/>
  <c r="E25" i="28"/>
  <c r="H33" i="7"/>
  <c r="D27" i="24"/>
  <c r="E27" i="24"/>
  <c r="D23" i="13"/>
  <c r="E23" i="13" s="1"/>
  <c r="G22" i="13"/>
  <c r="D23" i="39"/>
  <c r="E23" i="39"/>
  <c r="I100" i="43"/>
  <c r="H100" i="43"/>
  <c r="I25" i="29"/>
  <c r="H30" i="3"/>
  <c r="D29" i="25"/>
  <c r="E29" i="25"/>
  <c r="G20" i="42"/>
  <c r="H23" i="30"/>
  <c r="D22" i="41"/>
  <c r="E22" i="41"/>
  <c r="D29" i="22"/>
  <c r="E29" i="22"/>
  <c r="H104" i="31"/>
  <c r="I104" i="31"/>
  <c r="B24" i="31"/>
  <c r="F24" i="31"/>
  <c r="G24" i="31" s="1"/>
  <c r="D33" i="10"/>
  <c r="E33" i="10"/>
  <c r="D31" i="8"/>
  <c r="E31" i="8"/>
  <c r="D22" i="38"/>
  <c r="E22" i="38"/>
  <c r="G32" i="11"/>
  <c r="I32" i="11" s="1"/>
  <c r="D31" i="5"/>
  <c r="E31" i="5"/>
  <c r="J100" i="39"/>
  <c r="D21" i="45"/>
  <c r="E21" i="45"/>
  <c r="D28" i="23"/>
  <c r="E28" i="23"/>
  <c r="H32" i="10"/>
  <c r="F101" i="41"/>
  <c r="B101" i="41"/>
  <c r="I100" i="41"/>
  <c r="H100" i="41"/>
  <c r="D22" i="40"/>
  <c r="E22" i="40"/>
  <c r="H20" i="42"/>
  <c r="G30" i="5"/>
  <c r="D31" i="4"/>
  <c r="E31" i="4"/>
  <c r="H24" i="28"/>
  <c r="H27" i="23"/>
  <c r="G32" i="10"/>
  <c r="G26" i="24"/>
  <c r="D22" i="43"/>
  <c r="E22" i="43"/>
  <c r="B101" i="45"/>
  <c r="F101" i="45"/>
  <c r="B105" i="31"/>
  <c r="F105" i="31"/>
  <c r="D34" i="7"/>
  <c r="E34" i="7"/>
  <c r="D33" i="11"/>
  <c r="E33" i="11"/>
  <c r="H22" i="13"/>
  <c r="H28" i="25"/>
  <c r="H30" i="5"/>
  <c r="D22" i="37"/>
  <c r="E22" i="37"/>
  <c r="H30" i="4"/>
  <c r="G20" i="45"/>
  <c r="I20" i="45" s="1"/>
  <c r="G24" i="28"/>
  <c r="H26" i="24"/>
  <c r="H21" i="43"/>
  <c r="H100" i="45"/>
  <c r="I100" i="45"/>
  <c r="F35" i="17"/>
  <c r="F25" i="17"/>
  <c r="I21" i="17"/>
  <c r="I25" i="17"/>
  <c r="I36" i="17"/>
  <c r="I19" i="17"/>
  <c r="I18" i="17"/>
  <c r="F23" i="17"/>
  <c r="I29" i="17"/>
  <c r="I22" i="17"/>
  <c r="I34" i="17"/>
  <c r="I30" i="17"/>
  <c r="F41" i="17"/>
  <c r="I23" i="17"/>
  <c r="I24" i="17"/>
  <c r="I28" i="17"/>
  <c r="I27" i="17"/>
  <c r="I26" i="17"/>
  <c r="I32" i="17"/>
  <c r="I31" i="17"/>
  <c r="I20" i="17"/>
  <c r="B21" i="46" l="1"/>
  <c r="F21" i="46"/>
  <c r="H21" i="46"/>
  <c r="O88" i="4"/>
  <c r="O89" i="4" s="1"/>
  <c r="O88" i="30"/>
  <c r="O89" i="30" s="1"/>
  <c r="O88" i="11"/>
  <c r="O89" i="11" s="1"/>
  <c r="H101" i="46"/>
  <c r="I101" i="46"/>
  <c r="O88" i="6"/>
  <c r="O89" i="6" s="1"/>
  <c r="O88" i="37"/>
  <c r="O89" i="37" s="1"/>
  <c r="O88" i="23"/>
  <c r="O89" i="23" s="1"/>
  <c r="E102" i="46"/>
  <c r="F102" i="46" s="1"/>
  <c r="B102" i="46"/>
  <c r="G35" i="17"/>
  <c r="N7" i="27"/>
  <c r="N19" i="1"/>
  <c r="O19" i="1" s="1"/>
  <c r="G25" i="17"/>
  <c r="G23" i="17"/>
  <c r="V28" i="17"/>
  <c r="V29" i="17"/>
  <c r="V24" i="17"/>
  <c r="V32" i="17"/>
  <c r="I47" i="17"/>
  <c r="V31" i="17"/>
  <c r="V26" i="17"/>
  <c r="V30" i="17"/>
  <c r="V21" i="17"/>
  <c r="V36" i="17"/>
  <c r="V34" i="17"/>
  <c r="V23" i="17"/>
  <c r="V22" i="17"/>
  <c r="V27" i="17"/>
  <c r="V20" i="17"/>
  <c r="V25" i="17"/>
  <c r="V19" i="17"/>
  <c r="J107" i="22"/>
  <c r="N88" i="22"/>
  <c r="N89" i="11"/>
  <c r="J110" i="9"/>
  <c r="N88" i="9"/>
  <c r="N89" i="28"/>
  <c r="N89" i="8"/>
  <c r="N89" i="37"/>
  <c r="N89" i="6"/>
  <c r="J111" i="7"/>
  <c r="N88" i="7"/>
  <c r="N89" i="25"/>
  <c r="J111" i="10"/>
  <c r="N88" i="10"/>
  <c r="O88" i="3"/>
  <c r="O89" i="3" s="1"/>
  <c r="E48" i="17"/>
  <c r="G41" i="17"/>
  <c r="R132" i="1"/>
  <c r="M20" i="1"/>
  <c r="J102" i="30"/>
  <c r="J105" i="24"/>
  <c r="J106" i="23"/>
  <c r="J109" i="8"/>
  <c r="H25" i="27"/>
  <c r="I25" i="27" s="1"/>
  <c r="G101" i="42"/>
  <c r="D102" i="42"/>
  <c r="J100" i="42"/>
  <c r="D102" i="44"/>
  <c r="G101" i="44"/>
  <c r="E102" i="13"/>
  <c r="F102" i="13" s="1"/>
  <c r="B102" i="13"/>
  <c r="I101" i="13"/>
  <c r="H101" i="13"/>
  <c r="J100" i="44"/>
  <c r="D33" i="9"/>
  <c r="E33" i="9"/>
  <c r="H26" i="29"/>
  <c r="I26" i="29" s="1"/>
  <c r="J100" i="37"/>
  <c r="H24" i="31"/>
  <c r="I24" i="31" s="1"/>
  <c r="H32" i="9"/>
  <c r="I32" i="9" s="1"/>
  <c r="B21" i="44"/>
  <c r="F21" i="44"/>
  <c r="G21" i="44" s="1"/>
  <c r="F31" i="6"/>
  <c r="G31" i="6" s="1"/>
  <c r="B31" i="6"/>
  <c r="D26" i="27"/>
  <c r="E26" i="27"/>
  <c r="J109" i="6"/>
  <c r="D110" i="4"/>
  <c r="G109" i="4"/>
  <c r="E110" i="4"/>
  <c r="J108" i="5"/>
  <c r="G111" i="9"/>
  <c r="E112" i="9"/>
  <c r="D112" i="9"/>
  <c r="E102" i="37"/>
  <c r="D102" i="37"/>
  <c r="G101" i="37"/>
  <c r="B102" i="38"/>
  <c r="F102" i="38"/>
  <c r="G110" i="8"/>
  <c r="E111" i="8"/>
  <c r="D111" i="8"/>
  <c r="D102" i="40"/>
  <c r="E102" i="40"/>
  <c r="G101" i="40"/>
  <c r="J104" i="27"/>
  <c r="G109" i="3"/>
  <c r="E110" i="3"/>
  <c r="D110" i="3"/>
  <c r="E105" i="28"/>
  <c r="D105" i="28"/>
  <c r="G104" i="28"/>
  <c r="E113" i="7"/>
  <c r="D113" i="7"/>
  <c r="G112" i="7"/>
  <c r="G108" i="25"/>
  <c r="D109" i="25"/>
  <c r="E109" i="25"/>
  <c r="D104" i="30"/>
  <c r="G103" i="30"/>
  <c r="E104" i="30"/>
  <c r="D106" i="27"/>
  <c r="E106" i="27"/>
  <c r="G105" i="27"/>
  <c r="G110" i="6"/>
  <c r="D111" i="6"/>
  <c r="E111" i="6"/>
  <c r="J110" i="11"/>
  <c r="J107" i="25"/>
  <c r="G112" i="10"/>
  <c r="E113" i="10"/>
  <c r="D113" i="10"/>
  <c r="D107" i="24"/>
  <c r="E107" i="24"/>
  <c r="G106" i="24"/>
  <c r="D109" i="22"/>
  <c r="G108" i="22"/>
  <c r="E109" i="22"/>
  <c r="J103" i="28"/>
  <c r="J108" i="3"/>
  <c r="G111" i="11"/>
  <c r="D112" i="11"/>
  <c r="E112" i="11"/>
  <c r="H101" i="38"/>
  <c r="I101" i="38"/>
  <c r="G109" i="5"/>
  <c r="D110" i="5"/>
  <c r="E110" i="5"/>
  <c r="J100" i="40"/>
  <c r="J108" i="4"/>
  <c r="E108" i="23"/>
  <c r="D108" i="23"/>
  <c r="G107" i="23"/>
  <c r="J104" i="29"/>
  <c r="F106" i="29"/>
  <c r="B106" i="29"/>
  <c r="I105" i="29"/>
  <c r="H105" i="29"/>
  <c r="I30" i="4"/>
  <c r="B21" i="45"/>
  <c r="F21" i="45"/>
  <c r="H21" i="45" s="1"/>
  <c r="I101" i="39"/>
  <c r="H101" i="39"/>
  <c r="B22" i="43"/>
  <c r="F22" i="43"/>
  <c r="G22" i="43" s="1"/>
  <c r="B22" i="40"/>
  <c r="F22" i="40"/>
  <c r="G22" i="40" s="1"/>
  <c r="B22" i="38"/>
  <c r="F22" i="38"/>
  <c r="H22" i="38" s="1"/>
  <c r="I30" i="3"/>
  <c r="J100" i="43"/>
  <c r="B23" i="13"/>
  <c r="F23" i="13"/>
  <c r="H23" i="13" s="1"/>
  <c r="I33" i="7"/>
  <c r="J104" i="31"/>
  <c r="B31" i="5"/>
  <c r="F31" i="5"/>
  <c r="G31" i="5" s="1"/>
  <c r="D25" i="31"/>
  <c r="E25" i="31"/>
  <c r="I23" i="30"/>
  <c r="F27" i="24"/>
  <c r="G27" i="24" s="1"/>
  <c r="B27" i="24"/>
  <c r="F31" i="3"/>
  <c r="B31" i="3"/>
  <c r="I20" i="42"/>
  <c r="F102" i="39"/>
  <c r="B102" i="39"/>
  <c r="G101" i="43"/>
  <c r="D102" i="43"/>
  <c r="E102" i="43"/>
  <c r="F34" i="7"/>
  <c r="G34" i="7" s="1"/>
  <c r="B34" i="7"/>
  <c r="J100" i="41"/>
  <c r="F24" i="30"/>
  <c r="G24" i="30" s="1"/>
  <c r="B24" i="30"/>
  <c r="F33" i="11"/>
  <c r="B33" i="11"/>
  <c r="E106" i="31"/>
  <c r="D106" i="31"/>
  <c r="G105" i="31"/>
  <c r="G101" i="41"/>
  <c r="D102" i="41"/>
  <c r="E102" i="41"/>
  <c r="B28" i="23"/>
  <c r="F28" i="23"/>
  <c r="H28" i="23" s="1"/>
  <c r="B23" i="39"/>
  <c r="F23" i="39"/>
  <c r="H23" i="39" s="1"/>
  <c r="E27" i="29"/>
  <c r="D27" i="29"/>
  <c r="J100" i="45"/>
  <c r="F22" i="37"/>
  <c r="H22" i="37" s="1"/>
  <c r="B22" i="37"/>
  <c r="I22" i="13"/>
  <c r="F33" i="10"/>
  <c r="H33" i="10" s="1"/>
  <c r="B33" i="10"/>
  <c r="F21" i="42"/>
  <c r="G21" i="42" s="1"/>
  <c r="B21" i="42"/>
  <c r="B31" i="8"/>
  <c r="F31" i="8"/>
  <c r="G31" i="8" s="1"/>
  <c r="I30" i="5"/>
  <c r="B29" i="25"/>
  <c r="F29" i="25"/>
  <c r="H29" i="25" s="1"/>
  <c r="B25" i="28"/>
  <c r="F25" i="28"/>
  <c r="H25" i="28" s="1"/>
  <c r="I26" i="24"/>
  <c r="B31" i="4"/>
  <c r="F31" i="4"/>
  <c r="G31" i="4" s="1"/>
  <c r="I28" i="25"/>
  <c r="I24" i="28"/>
  <c r="I32" i="10"/>
  <c r="I21" i="43"/>
  <c r="D102" i="45"/>
  <c r="E102" i="45" s="1"/>
  <c r="G101" i="45"/>
  <c r="I27" i="23"/>
  <c r="B29" i="22"/>
  <c r="F29" i="22"/>
  <c r="G29" i="22" s="1"/>
  <c r="F22" i="41"/>
  <c r="H22" i="41" s="1"/>
  <c r="B22" i="41"/>
  <c r="F31" i="17"/>
  <c r="H31" i="8" l="1"/>
  <c r="I31" i="8" s="1"/>
  <c r="E22" i="46"/>
  <c r="D22" i="46"/>
  <c r="G21" i="46"/>
  <c r="I21" i="46" s="1"/>
  <c r="D103" i="46"/>
  <c r="G102" i="46"/>
  <c r="J101" i="46"/>
  <c r="G31" i="17"/>
  <c r="G47" i="17" s="1"/>
  <c r="G48" i="17" s="1"/>
  <c r="F47" i="17"/>
  <c r="F48" i="17" s="1"/>
  <c r="O20" i="1"/>
  <c r="R134" i="1"/>
  <c r="N20" i="1"/>
  <c r="R133" i="1"/>
  <c r="N89" i="7"/>
  <c r="O88" i="7"/>
  <c r="O89" i="7" s="1"/>
  <c r="N89" i="10"/>
  <c r="O88" i="10"/>
  <c r="O89" i="10" s="1"/>
  <c r="N89" i="22"/>
  <c r="O88" i="22"/>
  <c r="O89" i="22" s="1"/>
  <c r="N89" i="9"/>
  <c r="O88" i="9"/>
  <c r="O89" i="9" s="1"/>
  <c r="G22" i="41"/>
  <c r="I22" i="41" s="1"/>
  <c r="H21" i="44"/>
  <c r="H29" i="22"/>
  <c r="I29" i="22" s="1"/>
  <c r="H31" i="6"/>
  <c r="I31" i="6" s="1"/>
  <c r="H31" i="4"/>
  <c r="I31" i="4" s="1"/>
  <c r="B102" i="42"/>
  <c r="E102" i="42"/>
  <c r="F102" i="42" s="1"/>
  <c r="H101" i="42"/>
  <c r="I101" i="42"/>
  <c r="G102" i="13"/>
  <c r="D103" i="13"/>
  <c r="J101" i="13"/>
  <c r="H101" i="44"/>
  <c r="I101" i="44"/>
  <c r="E102" i="44"/>
  <c r="F102" i="44" s="1"/>
  <c r="B102" i="44"/>
  <c r="G28" i="23"/>
  <c r="I28" i="23" s="1"/>
  <c r="I21" i="44"/>
  <c r="G33" i="10"/>
  <c r="I33" i="10" s="1"/>
  <c r="G22" i="37"/>
  <c r="I22" i="37" s="1"/>
  <c r="H24" i="30"/>
  <c r="I24" i="30" s="1"/>
  <c r="H34" i="7"/>
  <c r="I34" i="7" s="1"/>
  <c r="H31" i="5"/>
  <c r="I31" i="5" s="1"/>
  <c r="H22" i="43"/>
  <c r="I22" i="43" s="1"/>
  <c r="J101" i="38"/>
  <c r="D32" i="6"/>
  <c r="E32" i="6"/>
  <c r="D22" i="44"/>
  <c r="E22" i="44"/>
  <c r="G21" i="45"/>
  <c r="I21" i="45" s="1"/>
  <c r="B26" i="27"/>
  <c r="F26" i="27"/>
  <c r="H26" i="27" s="1"/>
  <c r="B33" i="9"/>
  <c r="F33" i="9"/>
  <c r="G33" i="9" s="1"/>
  <c r="B112" i="11"/>
  <c r="F112" i="11"/>
  <c r="I112" i="10"/>
  <c r="H112" i="10"/>
  <c r="B113" i="7"/>
  <c r="F113" i="7"/>
  <c r="B111" i="8"/>
  <c r="F111" i="8"/>
  <c r="F112" i="9"/>
  <c r="B112" i="9"/>
  <c r="H107" i="23"/>
  <c r="I107" i="23"/>
  <c r="I111" i="11"/>
  <c r="H111" i="11"/>
  <c r="H108" i="22"/>
  <c r="I108" i="22"/>
  <c r="B107" i="24"/>
  <c r="F107" i="24"/>
  <c r="I110" i="6"/>
  <c r="H110" i="6"/>
  <c r="F109" i="25"/>
  <c r="B109" i="25"/>
  <c r="B110" i="3"/>
  <c r="F110" i="3"/>
  <c r="H101" i="40"/>
  <c r="I101" i="40"/>
  <c r="I101" i="37"/>
  <c r="H101" i="37"/>
  <c r="H109" i="4"/>
  <c r="I109" i="4"/>
  <c r="I109" i="5"/>
  <c r="H109" i="5"/>
  <c r="B106" i="27"/>
  <c r="F106" i="27"/>
  <c r="B108" i="23"/>
  <c r="F108" i="23"/>
  <c r="B109" i="22"/>
  <c r="F109" i="22"/>
  <c r="B113" i="10"/>
  <c r="F113" i="10"/>
  <c r="I105" i="27"/>
  <c r="H105" i="27"/>
  <c r="H103" i="30"/>
  <c r="I103" i="30"/>
  <c r="H108" i="25"/>
  <c r="I108" i="25"/>
  <c r="I104" i="28"/>
  <c r="H104" i="28"/>
  <c r="H110" i="8"/>
  <c r="I110" i="8"/>
  <c r="F102" i="37"/>
  <c r="B102" i="37"/>
  <c r="I111" i="9"/>
  <c r="H111" i="9"/>
  <c r="B110" i="4"/>
  <c r="F110" i="4"/>
  <c r="F111" i="6"/>
  <c r="B111" i="6"/>
  <c r="F110" i="5"/>
  <c r="B110" i="5"/>
  <c r="I106" i="24"/>
  <c r="H106" i="24"/>
  <c r="F104" i="30"/>
  <c r="B104" i="30"/>
  <c r="I112" i="7"/>
  <c r="H112" i="7"/>
  <c r="F105" i="28"/>
  <c r="B105" i="28"/>
  <c r="H109" i="3"/>
  <c r="I109" i="3"/>
  <c r="B102" i="40"/>
  <c r="F102" i="40"/>
  <c r="G102" i="38"/>
  <c r="E103" i="38"/>
  <c r="D103" i="38"/>
  <c r="J105" i="29"/>
  <c r="D107" i="29"/>
  <c r="E107" i="29"/>
  <c r="G106" i="29"/>
  <c r="D34" i="11"/>
  <c r="E34" i="11"/>
  <c r="I101" i="43"/>
  <c r="H101" i="43"/>
  <c r="D32" i="3"/>
  <c r="E32" i="3"/>
  <c r="H22" i="40"/>
  <c r="I22" i="40" s="1"/>
  <c r="D22" i="42"/>
  <c r="E22" i="42"/>
  <c r="G23" i="39"/>
  <c r="I23" i="39" s="1"/>
  <c r="F27" i="29"/>
  <c r="B27" i="29"/>
  <c r="H101" i="41"/>
  <c r="I101" i="41"/>
  <c r="B106" i="31"/>
  <c r="F106" i="31"/>
  <c r="D22" i="45"/>
  <c r="E22" i="45"/>
  <c r="G25" i="28"/>
  <c r="I25" i="28" s="1"/>
  <c r="D23" i="37"/>
  <c r="E23" i="37"/>
  <c r="D25" i="30"/>
  <c r="E25" i="30"/>
  <c r="D28" i="24"/>
  <c r="E28" i="24"/>
  <c r="G23" i="13"/>
  <c r="I23" i="13" s="1"/>
  <c r="H105" i="31"/>
  <c r="I105" i="31"/>
  <c r="D23" i="41"/>
  <c r="E23" i="41"/>
  <c r="D32" i="4"/>
  <c r="E32" i="4"/>
  <c r="D30" i="25"/>
  <c r="E30" i="25"/>
  <c r="D29" i="23"/>
  <c r="E29" i="23"/>
  <c r="H33" i="11"/>
  <c r="D35" i="7"/>
  <c r="E35" i="7"/>
  <c r="H31" i="3"/>
  <c r="H27" i="24"/>
  <c r="D23" i="38"/>
  <c r="E23" i="38"/>
  <c r="D32" i="8"/>
  <c r="E32" i="8"/>
  <c r="E24" i="39"/>
  <c r="D24" i="39"/>
  <c r="B25" i="31"/>
  <c r="F25" i="31"/>
  <c r="G25" i="31" s="1"/>
  <c r="D34" i="10"/>
  <c r="E34" i="10"/>
  <c r="D23" i="43"/>
  <c r="E23" i="43"/>
  <c r="D26" i="28"/>
  <c r="E26" i="28"/>
  <c r="B102" i="41"/>
  <c r="F102" i="41"/>
  <c r="D103" i="39"/>
  <c r="G102" i="39"/>
  <c r="E103" i="39"/>
  <c r="D24" i="13"/>
  <c r="E24" i="13" s="1"/>
  <c r="D23" i="40"/>
  <c r="E23" i="40"/>
  <c r="H101" i="45"/>
  <c r="I101" i="45"/>
  <c r="D30" i="22"/>
  <c r="E30" i="22"/>
  <c r="B102" i="45"/>
  <c r="F102" i="45"/>
  <c r="G29" i="25"/>
  <c r="I29" i="25" s="1"/>
  <c r="H21" i="42"/>
  <c r="G33" i="11"/>
  <c r="F102" i="43"/>
  <c r="B102" i="43"/>
  <c r="G31" i="3"/>
  <c r="D32" i="5"/>
  <c r="E32" i="5"/>
  <c r="G22" i="38"/>
  <c r="I22" i="38" s="1"/>
  <c r="J101" i="39"/>
  <c r="B22" i="46" l="1"/>
  <c r="F22" i="46"/>
  <c r="G22" i="46" s="1"/>
  <c r="H22" i="46"/>
  <c r="H102" i="46"/>
  <c r="I102" i="46"/>
  <c r="E103" i="46"/>
  <c r="F103" i="46" s="1"/>
  <c r="B103" i="46"/>
  <c r="G26" i="27"/>
  <c r="I26" i="27" s="1"/>
  <c r="J109" i="4"/>
  <c r="J108" i="22"/>
  <c r="J101" i="44"/>
  <c r="J101" i="42"/>
  <c r="J103" i="30"/>
  <c r="J105" i="27"/>
  <c r="J107" i="23"/>
  <c r="J111" i="11"/>
  <c r="J111" i="9"/>
  <c r="D103" i="42"/>
  <c r="G102" i="42"/>
  <c r="H25" i="31"/>
  <c r="I25" i="31" s="1"/>
  <c r="G102" i="44"/>
  <c r="D103" i="44"/>
  <c r="E103" i="13"/>
  <c r="F103" i="13" s="1"/>
  <c r="B103" i="13"/>
  <c r="H102" i="13"/>
  <c r="M88" i="13" s="1"/>
  <c r="I102" i="13"/>
  <c r="D34" i="9"/>
  <c r="E34" i="9"/>
  <c r="F32" i="6"/>
  <c r="B32" i="6"/>
  <c r="H33" i="9"/>
  <c r="I33" i="9" s="1"/>
  <c r="D27" i="27"/>
  <c r="E27" i="27"/>
  <c r="F22" i="44"/>
  <c r="H22" i="44" s="1"/>
  <c r="B22" i="44"/>
  <c r="D111" i="4"/>
  <c r="G110" i="4"/>
  <c r="E111" i="4"/>
  <c r="D109" i="23"/>
  <c r="E109" i="23"/>
  <c r="G108" i="23"/>
  <c r="D111" i="3"/>
  <c r="G110" i="3"/>
  <c r="E111" i="3"/>
  <c r="B103" i="38"/>
  <c r="F103" i="38"/>
  <c r="D106" i="28"/>
  <c r="E106" i="28"/>
  <c r="G105" i="28"/>
  <c r="E105" i="30"/>
  <c r="D105" i="30"/>
  <c r="G104" i="30"/>
  <c r="E111" i="5"/>
  <c r="D111" i="5"/>
  <c r="G110" i="5"/>
  <c r="G102" i="37"/>
  <c r="D103" i="37"/>
  <c r="E103" i="37"/>
  <c r="J104" i="28"/>
  <c r="J109" i="5"/>
  <c r="J101" i="37"/>
  <c r="J110" i="6"/>
  <c r="J112" i="10"/>
  <c r="D103" i="40"/>
  <c r="G102" i="40"/>
  <c r="E103" i="40"/>
  <c r="J109" i="3"/>
  <c r="J110" i="8"/>
  <c r="J108" i="25"/>
  <c r="D110" i="22"/>
  <c r="G109" i="22"/>
  <c r="E110" i="22"/>
  <c r="G106" i="27"/>
  <c r="D107" i="27"/>
  <c r="E107" i="27"/>
  <c r="J101" i="40"/>
  <c r="D108" i="24"/>
  <c r="G107" i="24"/>
  <c r="E108" i="24"/>
  <c r="G113" i="7"/>
  <c r="D114" i="7"/>
  <c r="E114" i="7"/>
  <c r="D113" i="11"/>
  <c r="E113" i="11"/>
  <c r="G112" i="11"/>
  <c r="D114" i="10"/>
  <c r="E114" i="10"/>
  <c r="G113" i="10"/>
  <c r="D112" i="8"/>
  <c r="G111" i="8"/>
  <c r="E112" i="8"/>
  <c r="I102" i="38"/>
  <c r="H102" i="38"/>
  <c r="J112" i="7"/>
  <c r="J106" i="24"/>
  <c r="G111" i="6"/>
  <c r="E112" i="6"/>
  <c r="D112" i="6"/>
  <c r="D110" i="25"/>
  <c r="E110" i="25"/>
  <c r="G109" i="25"/>
  <c r="G112" i="9"/>
  <c r="D113" i="9"/>
  <c r="E113" i="9"/>
  <c r="H106" i="29"/>
  <c r="I106" i="29"/>
  <c r="B107" i="29"/>
  <c r="F107" i="29"/>
  <c r="J105" i="31"/>
  <c r="J101" i="45"/>
  <c r="B23" i="37"/>
  <c r="F23" i="37"/>
  <c r="H23" i="37" s="1"/>
  <c r="B22" i="45"/>
  <c r="F22" i="45"/>
  <c r="H22" i="45" s="1"/>
  <c r="G106" i="31"/>
  <c r="E107" i="31"/>
  <c r="D107" i="31"/>
  <c r="F32" i="3"/>
  <c r="H32" i="3" s="1"/>
  <c r="B32" i="3"/>
  <c r="G102" i="43"/>
  <c r="D103" i="43"/>
  <c r="E103" i="43"/>
  <c r="F23" i="38"/>
  <c r="H23" i="38" s="1"/>
  <c r="B23" i="38"/>
  <c r="B32" i="5"/>
  <c r="F32" i="5"/>
  <c r="G32" i="5" s="1"/>
  <c r="D103" i="45"/>
  <c r="E103" i="45" s="1"/>
  <c r="G102" i="45"/>
  <c r="H102" i="39"/>
  <c r="I102" i="39"/>
  <c r="B32" i="8"/>
  <c r="F32" i="8"/>
  <c r="H32" i="8" s="1"/>
  <c r="I27" i="24"/>
  <c r="F29" i="23"/>
  <c r="G29" i="23" s="1"/>
  <c r="B29" i="23"/>
  <c r="F28" i="24"/>
  <c r="H28" i="24" s="1"/>
  <c r="B28" i="24"/>
  <c r="J101" i="41"/>
  <c r="J101" i="43"/>
  <c r="F30" i="25"/>
  <c r="H30" i="25" s="1"/>
  <c r="B30" i="25"/>
  <c r="B103" i="39"/>
  <c r="F103" i="39"/>
  <c r="F23" i="43"/>
  <c r="G23" i="43" s="1"/>
  <c r="B23" i="43"/>
  <c r="I31" i="3"/>
  <c r="B32" i="4"/>
  <c r="F32" i="4"/>
  <c r="G32" i="4" s="1"/>
  <c r="E28" i="29"/>
  <c r="D28" i="29"/>
  <c r="B23" i="40"/>
  <c r="F23" i="40"/>
  <c r="H23" i="40" s="1"/>
  <c r="G102" i="41"/>
  <c r="D103" i="41"/>
  <c r="E103" i="41"/>
  <c r="D26" i="31"/>
  <c r="E26" i="31"/>
  <c r="B25" i="30"/>
  <c r="F25" i="30"/>
  <c r="H25" i="30" s="1"/>
  <c r="B34" i="11"/>
  <c r="F34" i="11"/>
  <c r="G34" i="11" s="1"/>
  <c r="I21" i="42"/>
  <c r="B30" i="22"/>
  <c r="F30" i="22"/>
  <c r="H30" i="22" s="1"/>
  <c r="F26" i="28"/>
  <c r="H26" i="28" s="1"/>
  <c r="B26" i="28"/>
  <c r="B35" i="7"/>
  <c r="F35" i="7"/>
  <c r="H35" i="7" s="1"/>
  <c r="G27" i="29"/>
  <c r="B22" i="42"/>
  <c r="F22" i="42"/>
  <c r="G22" i="42" s="1"/>
  <c r="F24" i="13"/>
  <c r="G24" i="13" s="1"/>
  <c r="B24" i="13"/>
  <c r="F34" i="10"/>
  <c r="H34" i="10" s="1"/>
  <c r="B34" i="10"/>
  <c r="B24" i="39"/>
  <c r="F24" i="39"/>
  <c r="I33" i="11"/>
  <c r="F23" i="41"/>
  <c r="G23" i="41" s="1"/>
  <c r="B23" i="41"/>
  <c r="H27" i="29"/>
  <c r="J102" i="46" l="1"/>
  <c r="I22" i="46"/>
  <c r="G28" i="24"/>
  <c r="D23" i="46"/>
  <c r="E23" i="46"/>
  <c r="D104" i="46"/>
  <c r="G103" i="46"/>
  <c r="G34" i="10"/>
  <c r="M89" i="13"/>
  <c r="N18" i="2"/>
  <c r="J102" i="13"/>
  <c r="N88" i="13"/>
  <c r="G23" i="40"/>
  <c r="G26" i="28"/>
  <c r="I26" i="28" s="1"/>
  <c r="H29" i="23"/>
  <c r="I29" i="23" s="1"/>
  <c r="I102" i="42"/>
  <c r="H102" i="42"/>
  <c r="H24" i="13"/>
  <c r="I28" i="24"/>
  <c r="E103" i="42"/>
  <c r="F103" i="42" s="1"/>
  <c r="B103" i="42"/>
  <c r="H32" i="5"/>
  <c r="I32" i="5" s="1"/>
  <c r="G103" i="13"/>
  <c r="D104" i="13"/>
  <c r="E103" i="44"/>
  <c r="F103" i="44" s="1"/>
  <c r="B103" i="44"/>
  <c r="H23" i="41"/>
  <c r="I23" i="41" s="1"/>
  <c r="H23" i="43"/>
  <c r="I23" i="43" s="1"/>
  <c r="I102" i="44"/>
  <c r="H102" i="44"/>
  <c r="F27" i="27"/>
  <c r="H27" i="27" s="1"/>
  <c r="B27" i="27"/>
  <c r="D33" i="6"/>
  <c r="E33" i="6"/>
  <c r="G23" i="38"/>
  <c r="I23" i="38" s="1"/>
  <c r="H32" i="6"/>
  <c r="H32" i="4"/>
  <c r="I32" i="4" s="1"/>
  <c r="G32" i="8"/>
  <c r="D23" i="44"/>
  <c r="E23" i="44"/>
  <c r="I23" i="40"/>
  <c r="G22" i="44"/>
  <c r="I22" i="44" s="1"/>
  <c r="G32" i="6"/>
  <c r="F34" i="9"/>
  <c r="H34" i="9" s="1"/>
  <c r="B34" i="9"/>
  <c r="J102" i="38"/>
  <c r="B113" i="9"/>
  <c r="F113" i="9"/>
  <c r="B113" i="11"/>
  <c r="F113" i="11"/>
  <c r="I110" i="5"/>
  <c r="H110" i="5"/>
  <c r="B109" i="23"/>
  <c r="F109" i="23"/>
  <c r="H112" i="9"/>
  <c r="I112" i="9"/>
  <c r="F112" i="6"/>
  <c r="B112" i="6"/>
  <c r="H111" i="8"/>
  <c r="I111" i="8"/>
  <c r="B114" i="10"/>
  <c r="F114" i="10"/>
  <c r="I107" i="24"/>
  <c r="H107" i="24"/>
  <c r="F107" i="27"/>
  <c r="B107" i="27"/>
  <c r="B110" i="22"/>
  <c r="F110" i="22"/>
  <c r="F111" i="5"/>
  <c r="B111" i="5"/>
  <c r="G103" i="38"/>
  <c r="D104" i="38"/>
  <c r="E104" i="38"/>
  <c r="F111" i="3"/>
  <c r="B111" i="3"/>
  <c r="F110" i="25"/>
  <c r="B110" i="25"/>
  <c r="I109" i="22"/>
  <c r="H109" i="22"/>
  <c r="F106" i="28"/>
  <c r="B106" i="28"/>
  <c r="H110" i="3"/>
  <c r="I110" i="3"/>
  <c r="I109" i="25"/>
  <c r="H109" i="25"/>
  <c r="F112" i="8"/>
  <c r="B112" i="8"/>
  <c r="I112" i="11"/>
  <c r="H112" i="11"/>
  <c r="F114" i="7"/>
  <c r="B114" i="7"/>
  <c r="B108" i="24"/>
  <c r="F108" i="24"/>
  <c r="H106" i="27"/>
  <c r="I106" i="27"/>
  <c r="I102" i="40"/>
  <c r="H102" i="40"/>
  <c r="F103" i="37"/>
  <c r="B103" i="37"/>
  <c r="I105" i="28"/>
  <c r="H105" i="28"/>
  <c r="H108" i="23"/>
  <c r="I108" i="23"/>
  <c r="I110" i="4"/>
  <c r="H110" i="4"/>
  <c r="B105" i="30"/>
  <c r="F105" i="30"/>
  <c r="H111" i="6"/>
  <c r="I111" i="6"/>
  <c r="H113" i="10"/>
  <c r="I113" i="10"/>
  <c r="H113" i="7"/>
  <c r="I113" i="7"/>
  <c r="F103" i="40"/>
  <c r="B103" i="40"/>
  <c r="H102" i="37"/>
  <c r="I102" i="37"/>
  <c r="H104" i="30"/>
  <c r="I104" i="30"/>
  <c r="F111" i="4"/>
  <c r="B111" i="4"/>
  <c r="E108" i="29"/>
  <c r="D108" i="29"/>
  <c r="G107" i="29"/>
  <c r="J106" i="29"/>
  <c r="I32" i="8"/>
  <c r="I27" i="29"/>
  <c r="I102" i="45"/>
  <c r="H102" i="45"/>
  <c r="D33" i="3"/>
  <c r="E33" i="3"/>
  <c r="G22" i="45"/>
  <c r="I22" i="45" s="1"/>
  <c r="D35" i="10"/>
  <c r="E35" i="10"/>
  <c r="D25" i="13"/>
  <c r="E25" i="13" s="1"/>
  <c r="G35" i="7"/>
  <c r="I35" i="7" s="1"/>
  <c r="G30" i="22"/>
  <c r="I30" i="22" s="1"/>
  <c r="B103" i="45"/>
  <c r="F103" i="45"/>
  <c r="D24" i="38"/>
  <c r="E24" i="38"/>
  <c r="D31" i="25"/>
  <c r="E31" i="25"/>
  <c r="F103" i="43"/>
  <c r="B103" i="43"/>
  <c r="I24" i="13"/>
  <c r="D25" i="39"/>
  <c r="E25" i="39"/>
  <c r="H24" i="39"/>
  <c r="D23" i="42"/>
  <c r="E23" i="42"/>
  <c r="G25" i="30"/>
  <c r="I25" i="30" s="1"/>
  <c r="D24" i="43"/>
  <c r="E24" i="43"/>
  <c r="G30" i="25"/>
  <c r="I30" i="25" s="1"/>
  <c r="D33" i="5"/>
  <c r="E33" i="5"/>
  <c r="I102" i="43"/>
  <c r="H102" i="43"/>
  <c r="F107" i="31"/>
  <c r="B107" i="31"/>
  <c r="D24" i="40"/>
  <c r="E24" i="40"/>
  <c r="D30" i="23"/>
  <c r="E30" i="23"/>
  <c r="E24" i="41"/>
  <c r="D24" i="41"/>
  <c r="G24" i="39"/>
  <c r="H22" i="42"/>
  <c r="D27" i="28"/>
  <c r="E27" i="28"/>
  <c r="H34" i="11"/>
  <c r="I34" i="11" s="1"/>
  <c r="D33" i="4"/>
  <c r="E33" i="4"/>
  <c r="D29" i="24"/>
  <c r="E29" i="24"/>
  <c r="J102" i="39"/>
  <c r="G32" i="3"/>
  <c r="I32" i="3" s="1"/>
  <c r="G23" i="37"/>
  <c r="I23" i="37" s="1"/>
  <c r="D26" i="30"/>
  <c r="E26" i="30"/>
  <c r="B103" i="41"/>
  <c r="F103" i="41"/>
  <c r="D33" i="8"/>
  <c r="E33" i="8"/>
  <c r="H106" i="31"/>
  <c r="I106" i="31"/>
  <c r="I34" i="10"/>
  <c r="E36" i="7"/>
  <c r="D36" i="7"/>
  <c r="D31" i="22"/>
  <c r="E31" i="22"/>
  <c r="D35" i="11"/>
  <c r="E35" i="11"/>
  <c r="F26" i="31"/>
  <c r="B26" i="31"/>
  <c r="H102" i="41"/>
  <c r="I102" i="41"/>
  <c r="B28" i="29"/>
  <c r="F28" i="29"/>
  <c r="G28" i="29" s="1"/>
  <c r="E104" i="39"/>
  <c r="G103" i="39"/>
  <c r="D104" i="39"/>
  <c r="D23" i="45"/>
  <c r="E23" i="45"/>
  <c r="D24" i="37"/>
  <c r="E24" i="37"/>
  <c r="H28" i="29" l="1"/>
  <c r="I32" i="6"/>
  <c r="F23" i="46"/>
  <c r="H23" i="46" s="1"/>
  <c r="B23" i="46"/>
  <c r="H103" i="46"/>
  <c r="I103" i="46"/>
  <c r="J103" i="46" s="1"/>
  <c r="E104" i="46"/>
  <c r="F104" i="46" s="1"/>
  <c r="B104" i="46"/>
  <c r="J113" i="7"/>
  <c r="J111" i="6"/>
  <c r="O18" i="2"/>
  <c r="O88" i="13"/>
  <c r="O89" i="13" s="1"/>
  <c r="N89" i="13"/>
  <c r="N19" i="2"/>
  <c r="N20" i="2" s="1"/>
  <c r="J107" i="24"/>
  <c r="J109" i="22"/>
  <c r="J110" i="5"/>
  <c r="G103" i="42"/>
  <c r="D104" i="42"/>
  <c r="B104" i="42" s="1"/>
  <c r="E104" i="42"/>
  <c r="J102" i="42"/>
  <c r="G103" i="44"/>
  <c r="D104" i="44"/>
  <c r="J102" i="44"/>
  <c r="E104" i="13"/>
  <c r="F104" i="13" s="1"/>
  <c r="B104" i="13"/>
  <c r="J102" i="37"/>
  <c r="I103" i="13"/>
  <c r="H103" i="13"/>
  <c r="F23" i="44"/>
  <c r="B23" i="44"/>
  <c r="E35" i="9"/>
  <c r="D35" i="9"/>
  <c r="G27" i="27"/>
  <c r="I27" i="27" s="1"/>
  <c r="D28" i="27"/>
  <c r="E28" i="27"/>
  <c r="G34" i="9"/>
  <c r="I34" i="9" s="1"/>
  <c r="B33" i="6"/>
  <c r="F33" i="6"/>
  <c r="E115" i="7"/>
  <c r="G114" i="7"/>
  <c r="D115" i="7"/>
  <c r="E110" i="23"/>
  <c r="G109" i="23"/>
  <c r="D110" i="23"/>
  <c r="E109" i="24"/>
  <c r="G108" i="24"/>
  <c r="D109" i="24"/>
  <c r="E112" i="5"/>
  <c r="D112" i="5"/>
  <c r="G111" i="5"/>
  <c r="G107" i="27"/>
  <c r="D108" i="27"/>
  <c r="E108" i="27"/>
  <c r="G112" i="6"/>
  <c r="D113" i="6"/>
  <c r="E113" i="6"/>
  <c r="G103" i="37"/>
  <c r="E104" i="37"/>
  <c r="D104" i="37"/>
  <c r="E113" i="8"/>
  <c r="D113" i="8"/>
  <c r="G112" i="8"/>
  <c r="D112" i="3"/>
  <c r="G111" i="3"/>
  <c r="E112" i="3"/>
  <c r="G111" i="4"/>
  <c r="E112" i="4"/>
  <c r="D112" i="4"/>
  <c r="J110" i="4"/>
  <c r="J105" i="28"/>
  <c r="J102" i="40"/>
  <c r="J112" i="11"/>
  <c r="J109" i="25"/>
  <c r="G106" i="28"/>
  <c r="D107" i="28"/>
  <c r="E107" i="28"/>
  <c r="E111" i="25"/>
  <c r="G110" i="25"/>
  <c r="D111" i="25"/>
  <c r="F104" i="38"/>
  <c r="B104" i="38"/>
  <c r="G110" i="22"/>
  <c r="D111" i="22"/>
  <c r="E111" i="22"/>
  <c r="J111" i="8"/>
  <c r="J112" i="9"/>
  <c r="G113" i="9"/>
  <c r="E114" i="9"/>
  <c r="D114" i="9"/>
  <c r="D104" i="40"/>
  <c r="G103" i="40"/>
  <c r="E104" i="40"/>
  <c r="E115" i="10"/>
  <c r="D115" i="10"/>
  <c r="G114" i="10"/>
  <c r="D114" i="11"/>
  <c r="G113" i="11"/>
  <c r="E114" i="11"/>
  <c r="J104" i="30"/>
  <c r="J113" i="10"/>
  <c r="D106" i="30"/>
  <c r="E106" i="30"/>
  <c r="G105" i="30"/>
  <c r="J108" i="23"/>
  <c r="J106" i="27"/>
  <c r="J110" i="3"/>
  <c r="H103" i="38"/>
  <c r="I103" i="38"/>
  <c r="I107" i="29"/>
  <c r="H107" i="29"/>
  <c r="B108" i="29"/>
  <c r="F108" i="29"/>
  <c r="B36" i="7"/>
  <c r="F36" i="7"/>
  <c r="H36" i="7" s="1"/>
  <c r="F25" i="13"/>
  <c r="H25" i="13" s="1"/>
  <c r="B25" i="13"/>
  <c r="B33" i="3"/>
  <c r="F33" i="3"/>
  <c r="G33" i="3" s="1"/>
  <c r="D104" i="41"/>
  <c r="G103" i="41"/>
  <c r="E104" i="41"/>
  <c r="B31" i="25"/>
  <c r="F31" i="25"/>
  <c r="G31" i="25" s="1"/>
  <c r="H103" i="39"/>
  <c r="I103" i="39"/>
  <c r="F26" i="30"/>
  <c r="H26" i="30" s="1"/>
  <c r="B26" i="30"/>
  <c r="J102" i="43"/>
  <c r="F35" i="10"/>
  <c r="G35" i="10" s="1"/>
  <c r="B35" i="10"/>
  <c r="J102" i="45"/>
  <c r="I28" i="29"/>
  <c r="D108" i="31"/>
  <c r="G107" i="31"/>
  <c r="E108" i="31"/>
  <c r="D104" i="43"/>
  <c r="G103" i="43"/>
  <c r="E104" i="43"/>
  <c r="J102" i="41"/>
  <c r="B24" i="40"/>
  <c r="F24" i="40"/>
  <c r="G24" i="40" s="1"/>
  <c r="F24" i="43"/>
  <c r="G24" i="43" s="1"/>
  <c r="B24" i="43"/>
  <c r="I24" i="39"/>
  <c r="F24" i="38"/>
  <c r="H24" i="38" s="1"/>
  <c r="B24" i="38"/>
  <c r="D27" i="31"/>
  <c r="E27" i="31"/>
  <c r="F24" i="37"/>
  <c r="H24" i="37" s="1"/>
  <c r="B24" i="37"/>
  <c r="F104" i="39"/>
  <c r="B104" i="39"/>
  <c r="B27" i="28"/>
  <c r="F27" i="28"/>
  <c r="G27" i="28" s="1"/>
  <c r="B30" i="23"/>
  <c r="F30" i="23"/>
  <c r="G30" i="23" s="1"/>
  <c r="G26" i="31"/>
  <c r="B35" i="11"/>
  <c r="F35" i="11"/>
  <c r="G35" i="11" s="1"/>
  <c r="B24" i="41"/>
  <c r="F24" i="41"/>
  <c r="H24" i="41" s="1"/>
  <c r="B23" i="42"/>
  <c r="F23" i="42"/>
  <c r="F31" i="22"/>
  <c r="H31" i="22" s="1"/>
  <c r="B31" i="22"/>
  <c r="B23" i="45"/>
  <c r="F23" i="45"/>
  <c r="G23" i="45" s="1"/>
  <c r="D29" i="29"/>
  <c r="E29" i="29"/>
  <c r="J106" i="31"/>
  <c r="F33" i="8"/>
  <c r="B33" i="8"/>
  <c r="I22" i="42"/>
  <c r="B33" i="5"/>
  <c r="F33" i="5"/>
  <c r="G33" i="5" s="1"/>
  <c r="B25" i="39"/>
  <c r="F25" i="39"/>
  <c r="H25" i="39" s="1"/>
  <c r="G103" i="45"/>
  <c r="D104" i="45"/>
  <c r="E104" i="45" s="1"/>
  <c r="H26" i="31"/>
  <c r="B29" i="24"/>
  <c r="F29" i="24"/>
  <c r="H29" i="24" s="1"/>
  <c r="B33" i="4"/>
  <c r="F33" i="4"/>
  <c r="G33" i="4" s="1"/>
  <c r="G23" i="46" l="1"/>
  <c r="I23" i="46" s="1"/>
  <c r="E24" i="46"/>
  <c r="D24" i="46"/>
  <c r="D105" i="46"/>
  <c r="G104" i="46"/>
  <c r="H30" i="23"/>
  <c r="I30" i="23" s="1"/>
  <c r="O19" i="2"/>
  <c r="O20" i="2" s="1"/>
  <c r="P18" i="2"/>
  <c r="P19" i="2" s="1"/>
  <c r="P20" i="2" s="1"/>
  <c r="F104" i="42"/>
  <c r="G25" i="13"/>
  <c r="I25" i="13" s="1"/>
  <c r="J103" i="13"/>
  <c r="D105" i="42"/>
  <c r="G104" i="42"/>
  <c r="G24" i="38"/>
  <c r="I24" i="38" s="1"/>
  <c r="H35" i="10"/>
  <c r="I35" i="10" s="1"/>
  <c r="I103" i="42"/>
  <c r="H103" i="42"/>
  <c r="G104" i="13"/>
  <c r="D105" i="13"/>
  <c r="G25" i="39"/>
  <c r="I25" i="39" s="1"/>
  <c r="G24" i="41"/>
  <c r="I24" i="41" s="1"/>
  <c r="H27" i="28"/>
  <c r="B104" i="44"/>
  <c r="E104" i="44"/>
  <c r="F104" i="44" s="1"/>
  <c r="H31" i="25"/>
  <c r="I31" i="25" s="1"/>
  <c r="I103" i="44"/>
  <c r="H103" i="44"/>
  <c r="H33" i="4"/>
  <c r="I33" i="4" s="1"/>
  <c r="E34" i="6"/>
  <c r="D34" i="6"/>
  <c r="B35" i="9"/>
  <c r="F35" i="9"/>
  <c r="H33" i="5"/>
  <c r="H23" i="45"/>
  <c r="D24" i="44"/>
  <c r="E24" i="44"/>
  <c r="G29" i="24"/>
  <c r="I29" i="24" s="1"/>
  <c r="G31" i="22"/>
  <c r="I31" i="22" s="1"/>
  <c r="G33" i="6"/>
  <c r="F28" i="27"/>
  <c r="H28" i="27" s="1"/>
  <c r="B28" i="27"/>
  <c r="G23" i="44"/>
  <c r="H35" i="11"/>
  <c r="I35" i="11" s="1"/>
  <c r="H33" i="6"/>
  <c r="H23" i="44"/>
  <c r="J103" i="38"/>
  <c r="F104" i="40"/>
  <c r="B104" i="40"/>
  <c r="I106" i="28"/>
  <c r="H106" i="28"/>
  <c r="H111" i="5"/>
  <c r="I111" i="5"/>
  <c r="B106" i="30"/>
  <c r="F106" i="30"/>
  <c r="I113" i="11"/>
  <c r="H113" i="11"/>
  <c r="B114" i="9"/>
  <c r="F114" i="9"/>
  <c r="F113" i="8"/>
  <c r="B113" i="8"/>
  <c r="I103" i="37"/>
  <c r="H103" i="37"/>
  <c r="B112" i="5"/>
  <c r="F112" i="5"/>
  <c r="B115" i="7"/>
  <c r="F115" i="7"/>
  <c r="F115" i="10"/>
  <c r="B115" i="10"/>
  <c r="I110" i="22"/>
  <c r="H110" i="22"/>
  <c r="H111" i="4"/>
  <c r="I111" i="4"/>
  <c r="F114" i="11"/>
  <c r="B114" i="11"/>
  <c r="D105" i="38"/>
  <c r="E105" i="38"/>
  <c r="G104" i="38"/>
  <c r="F112" i="4"/>
  <c r="B112" i="4"/>
  <c r="I111" i="3"/>
  <c r="H111" i="3"/>
  <c r="F108" i="27"/>
  <c r="B108" i="27"/>
  <c r="B110" i="23"/>
  <c r="F110" i="23"/>
  <c r="I114" i="7"/>
  <c r="H114" i="7"/>
  <c r="I110" i="25"/>
  <c r="H110" i="25"/>
  <c r="H112" i="8"/>
  <c r="I112" i="8"/>
  <c r="I112" i="6"/>
  <c r="H112" i="6"/>
  <c r="H108" i="24"/>
  <c r="I108" i="24"/>
  <c r="H105" i="30"/>
  <c r="I105" i="30"/>
  <c r="I114" i="10"/>
  <c r="J114" i="10" s="1"/>
  <c r="H114" i="10"/>
  <c r="I103" i="40"/>
  <c r="H103" i="40"/>
  <c r="I113" i="9"/>
  <c r="J113" i="9" s="1"/>
  <c r="H113" i="9"/>
  <c r="B111" i="22"/>
  <c r="F111" i="22"/>
  <c r="B111" i="25"/>
  <c r="F111" i="25"/>
  <c r="B107" i="28"/>
  <c r="F107" i="28"/>
  <c r="B112" i="3"/>
  <c r="F112" i="3"/>
  <c r="F104" i="37"/>
  <c r="B104" i="37"/>
  <c r="B113" i="6"/>
  <c r="F113" i="6"/>
  <c r="I107" i="27"/>
  <c r="H107" i="27"/>
  <c r="B109" i="24"/>
  <c r="F109" i="24"/>
  <c r="I109" i="23"/>
  <c r="H109" i="23"/>
  <c r="J107" i="29"/>
  <c r="E109" i="29"/>
  <c r="G108" i="29"/>
  <c r="D109" i="29"/>
  <c r="D34" i="8"/>
  <c r="E34" i="8"/>
  <c r="B29" i="29"/>
  <c r="F29" i="29"/>
  <c r="G29" i="29" s="1"/>
  <c r="D24" i="42"/>
  <c r="E24" i="42"/>
  <c r="I27" i="28"/>
  <c r="B27" i="31"/>
  <c r="F27" i="31"/>
  <c r="B104" i="41"/>
  <c r="F104" i="41"/>
  <c r="D24" i="45"/>
  <c r="E24" i="45"/>
  <c r="D31" i="23"/>
  <c r="E31" i="23"/>
  <c r="D25" i="38"/>
  <c r="E25" i="38"/>
  <c r="H24" i="40"/>
  <c r="I24" i="40" s="1"/>
  <c r="H103" i="43"/>
  <c r="I103" i="43"/>
  <c r="D27" i="30"/>
  <c r="E27" i="30"/>
  <c r="D34" i="3"/>
  <c r="E34" i="3"/>
  <c r="G36" i="7"/>
  <c r="I36" i="7" s="1"/>
  <c r="D25" i="37"/>
  <c r="E25" i="37"/>
  <c r="H107" i="31"/>
  <c r="I107" i="31"/>
  <c r="J103" i="39"/>
  <c r="H33" i="3"/>
  <c r="D30" i="24"/>
  <c r="E30" i="24"/>
  <c r="D32" i="25"/>
  <c r="E32" i="25"/>
  <c r="E34" i="5"/>
  <c r="D34" i="5"/>
  <c r="G24" i="37"/>
  <c r="I24" i="37" s="1"/>
  <c r="B108" i="31"/>
  <c r="F108" i="31"/>
  <c r="D26" i="39"/>
  <c r="E26" i="39"/>
  <c r="I23" i="45"/>
  <c r="B104" i="43"/>
  <c r="F104" i="43"/>
  <c r="D37" i="7"/>
  <c r="E37" i="7"/>
  <c r="D105" i="39"/>
  <c r="G104" i="39"/>
  <c r="E105" i="39"/>
  <c r="E34" i="4"/>
  <c r="D34" i="4"/>
  <c r="B104" i="45"/>
  <c r="F104" i="45"/>
  <c r="H33" i="8"/>
  <c r="H23" i="42"/>
  <c r="D36" i="11"/>
  <c r="E36" i="11"/>
  <c r="D28" i="28"/>
  <c r="E28" i="28"/>
  <c r="D36" i="10"/>
  <c r="E36" i="10"/>
  <c r="G26" i="30"/>
  <c r="I26" i="30" s="1"/>
  <c r="D25" i="43"/>
  <c r="E25" i="43"/>
  <c r="I26" i="31"/>
  <c r="H103" i="45"/>
  <c r="I103" i="45"/>
  <c r="I33" i="5"/>
  <c r="G33" i="8"/>
  <c r="D32" i="22"/>
  <c r="E32" i="22"/>
  <c r="G23" i="42"/>
  <c r="D25" i="41"/>
  <c r="E25" i="41"/>
  <c r="H24" i="43"/>
  <c r="D25" i="40"/>
  <c r="E25" i="40"/>
  <c r="I103" i="41"/>
  <c r="H103" i="41"/>
  <c r="D26" i="13"/>
  <c r="E26" i="13" s="1"/>
  <c r="F24" i="46" l="1"/>
  <c r="B24" i="46"/>
  <c r="G24" i="46"/>
  <c r="H24" i="46"/>
  <c r="H104" i="46"/>
  <c r="I104" i="46"/>
  <c r="J104" i="46" s="1"/>
  <c r="E105" i="46"/>
  <c r="F105" i="46" s="1"/>
  <c r="B105" i="46"/>
  <c r="J111" i="4"/>
  <c r="J111" i="5"/>
  <c r="J114" i="7"/>
  <c r="J105" i="30"/>
  <c r="J107" i="27"/>
  <c r="J110" i="25"/>
  <c r="J109" i="23"/>
  <c r="J112" i="6"/>
  <c r="I33" i="6"/>
  <c r="I104" i="42"/>
  <c r="H104" i="42"/>
  <c r="J103" i="42"/>
  <c r="E105" i="42"/>
  <c r="F105" i="42" s="1"/>
  <c r="B105" i="42"/>
  <c r="D105" i="44"/>
  <c r="G104" i="44"/>
  <c r="E105" i="13"/>
  <c r="F105" i="13" s="1"/>
  <c r="B105" i="13"/>
  <c r="J103" i="44"/>
  <c r="I104" i="13"/>
  <c r="H104" i="13"/>
  <c r="B24" i="44"/>
  <c r="F24" i="44"/>
  <c r="H24" i="44" s="1"/>
  <c r="D36" i="9"/>
  <c r="E36" i="9"/>
  <c r="B34" i="6"/>
  <c r="F34" i="6"/>
  <c r="G34" i="6" s="1"/>
  <c r="H35" i="9"/>
  <c r="I23" i="44"/>
  <c r="G28" i="27"/>
  <c r="I28" i="27" s="1"/>
  <c r="D29" i="27"/>
  <c r="E29" i="27"/>
  <c r="G35" i="9"/>
  <c r="D109" i="27"/>
  <c r="G108" i="27"/>
  <c r="E109" i="27"/>
  <c r="D108" i="28"/>
  <c r="G107" i="28"/>
  <c r="E108" i="28"/>
  <c r="E112" i="22"/>
  <c r="D112" i="22"/>
  <c r="G111" i="22"/>
  <c r="D111" i="23"/>
  <c r="E111" i="23"/>
  <c r="G110" i="23"/>
  <c r="I104" i="38"/>
  <c r="H104" i="38"/>
  <c r="D115" i="11"/>
  <c r="G114" i="11"/>
  <c r="E115" i="11"/>
  <c r="J110" i="22"/>
  <c r="J103" i="37"/>
  <c r="J106" i="28"/>
  <c r="E113" i="4"/>
  <c r="D113" i="4"/>
  <c r="G112" i="4"/>
  <c r="E115" i="9"/>
  <c r="D115" i="9"/>
  <c r="G114" i="9"/>
  <c r="E107" i="30"/>
  <c r="G106" i="30"/>
  <c r="D107" i="30"/>
  <c r="D105" i="37"/>
  <c r="E105" i="37"/>
  <c r="G104" i="37"/>
  <c r="J103" i="40"/>
  <c r="J111" i="3"/>
  <c r="G112" i="5"/>
  <c r="D113" i="5"/>
  <c r="E113" i="5"/>
  <c r="G115" i="7"/>
  <c r="D116" i="7"/>
  <c r="E116" i="7"/>
  <c r="E110" i="24"/>
  <c r="D110" i="24"/>
  <c r="G109" i="24"/>
  <c r="G113" i="6"/>
  <c r="D114" i="6"/>
  <c r="E114" i="6"/>
  <c r="E113" i="3"/>
  <c r="G112" i="3"/>
  <c r="D113" i="3"/>
  <c r="D112" i="25"/>
  <c r="E112" i="25"/>
  <c r="G111" i="25"/>
  <c r="J108" i="24"/>
  <c r="J112" i="8"/>
  <c r="F105" i="38"/>
  <c r="B105" i="38"/>
  <c r="D116" i="10"/>
  <c r="E116" i="10"/>
  <c r="G115" i="10"/>
  <c r="E114" i="8"/>
  <c r="D114" i="8"/>
  <c r="G113" i="8"/>
  <c r="J113" i="11"/>
  <c r="G104" i="40"/>
  <c r="E105" i="40"/>
  <c r="D105" i="40"/>
  <c r="B109" i="29"/>
  <c r="F109" i="29"/>
  <c r="I108" i="29"/>
  <c r="H108" i="29"/>
  <c r="F32" i="22"/>
  <c r="H32" i="22" s="1"/>
  <c r="B32" i="22"/>
  <c r="G104" i="45"/>
  <c r="D105" i="45"/>
  <c r="B26" i="39"/>
  <c r="F26" i="39"/>
  <c r="F34" i="4"/>
  <c r="H34" i="4" s="1"/>
  <c r="B34" i="4"/>
  <c r="B105" i="39"/>
  <c r="F105" i="39"/>
  <c r="D105" i="43"/>
  <c r="G104" i="43"/>
  <c r="E105" i="43"/>
  <c r="E109" i="31"/>
  <c r="G108" i="31"/>
  <c r="D109" i="31"/>
  <c r="F32" i="25"/>
  <c r="H32" i="25" s="1"/>
  <c r="B32" i="25"/>
  <c r="I33" i="3"/>
  <c r="J103" i="43"/>
  <c r="F34" i="8"/>
  <c r="H34" i="8" s="1"/>
  <c r="B34" i="8"/>
  <c r="J103" i="41"/>
  <c r="J103" i="45"/>
  <c r="B34" i="5"/>
  <c r="F34" i="5"/>
  <c r="H34" i="5" s="1"/>
  <c r="F31" i="23"/>
  <c r="G31" i="23" s="1"/>
  <c r="B31" i="23"/>
  <c r="D105" i="41"/>
  <c r="G104" i="41"/>
  <c r="E105" i="41"/>
  <c r="D28" i="31"/>
  <c r="E28" i="31"/>
  <c r="I24" i="43"/>
  <c r="B37" i="7"/>
  <c r="F37" i="7"/>
  <c r="G37" i="7" s="1"/>
  <c r="B27" i="30"/>
  <c r="F27" i="30"/>
  <c r="H27" i="30" s="1"/>
  <c r="F30" i="24"/>
  <c r="H30" i="24" s="1"/>
  <c r="B30" i="24"/>
  <c r="G27" i="31"/>
  <c r="B24" i="42"/>
  <c r="F24" i="42"/>
  <c r="F28" i="28"/>
  <c r="H28" i="28" s="1"/>
  <c r="B28" i="28"/>
  <c r="F25" i="43"/>
  <c r="H25" i="43" s="1"/>
  <c r="B25" i="43"/>
  <c r="B25" i="41"/>
  <c r="F25" i="41"/>
  <c r="G25" i="41" s="1"/>
  <c r="B36" i="11"/>
  <c r="F36" i="11"/>
  <c r="J107" i="31"/>
  <c r="D30" i="29"/>
  <c r="E30" i="29"/>
  <c r="F25" i="40"/>
  <c r="H25" i="40" s="1"/>
  <c r="B25" i="40"/>
  <c r="B24" i="45"/>
  <c r="F24" i="45"/>
  <c r="H24" i="45" s="1"/>
  <c r="F26" i="13"/>
  <c r="G26" i="13" s="1"/>
  <c r="B26" i="13"/>
  <c r="H104" i="39"/>
  <c r="I104" i="39"/>
  <c r="I23" i="42"/>
  <c r="B25" i="38"/>
  <c r="F25" i="38"/>
  <c r="H25" i="38" s="1"/>
  <c r="H27" i="31"/>
  <c r="B36" i="10"/>
  <c r="F36" i="10"/>
  <c r="H36" i="10" s="1"/>
  <c r="I33" i="8"/>
  <c r="B25" i="37"/>
  <c r="F25" i="37"/>
  <c r="H25" i="37" s="1"/>
  <c r="B34" i="3"/>
  <c r="F34" i="3"/>
  <c r="G34" i="3" s="1"/>
  <c r="H29" i="29"/>
  <c r="I29" i="29" s="1"/>
  <c r="I24" i="46" l="1"/>
  <c r="E25" i="46"/>
  <c r="D25" i="46"/>
  <c r="D106" i="46"/>
  <c r="G105" i="46"/>
  <c r="J104" i="13"/>
  <c r="G36" i="10"/>
  <c r="H34" i="6"/>
  <c r="I34" i="6" s="1"/>
  <c r="G105" i="42"/>
  <c r="D106" i="42"/>
  <c r="J104" i="42"/>
  <c r="G105" i="13"/>
  <c r="D106" i="13"/>
  <c r="H26" i="13"/>
  <c r="I26" i="13" s="1"/>
  <c r="G27" i="30"/>
  <c r="I27" i="30" s="1"/>
  <c r="I104" i="44"/>
  <c r="H104" i="44"/>
  <c r="G25" i="37"/>
  <c r="I25" i="37" s="1"/>
  <c r="B105" i="44"/>
  <c r="E105" i="44"/>
  <c r="F105" i="44" s="1"/>
  <c r="G24" i="45"/>
  <c r="I24" i="45" s="1"/>
  <c r="G28" i="28"/>
  <c r="I28" i="28" s="1"/>
  <c r="I35" i="9"/>
  <c r="G25" i="43"/>
  <c r="I25" i="43" s="1"/>
  <c r="F29" i="27"/>
  <c r="H29" i="27" s="1"/>
  <c r="B29" i="27"/>
  <c r="D25" i="44"/>
  <c r="E25" i="44"/>
  <c r="H25" i="41"/>
  <c r="I25" i="41" s="1"/>
  <c r="H31" i="23"/>
  <c r="D35" i="6"/>
  <c r="E35" i="6"/>
  <c r="G24" i="44"/>
  <c r="I24" i="44" s="1"/>
  <c r="H34" i="3"/>
  <c r="I34" i="3" s="1"/>
  <c r="G34" i="4"/>
  <c r="I34" i="4" s="1"/>
  <c r="F36" i="9"/>
  <c r="B36" i="9"/>
  <c r="J104" i="38"/>
  <c r="I115" i="10"/>
  <c r="H115" i="10"/>
  <c r="H109" i="24"/>
  <c r="I109" i="24"/>
  <c r="J109" i="24" s="1"/>
  <c r="H106" i="30"/>
  <c r="I106" i="30"/>
  <c r="J106" i="30" s="1"/>
  <c r="F108" i="28"/>
  <c r="B108" i="28"/>
  <c r="F105" i="40"/>
  <c r="B105" i="40"/>
  <c r="I113" i="8"/>
  <c r="H113" i="8"/>
  <c r="B112" i="25"/>
  <c r="F112" i="25"/>
  <c r="F110" i="24"/>
  <c r="B110" i="24"/>
  <c r="B116" i="7"/>
  <c r="F116" i="7"/>
  <c r="H112" i="5"/>
  <c r="I112" i="5"/>
  <c r="J112" i="5" s="1"/>
  <c r="I112" i="4"/>
  <c r="H112" i="4"/>
  <c r="B115" i="11"/>
  <c r="F115" i="11"/>
  <c r="H104" i="37"/>
  <c r="I104" i="37"/>
  <c r="F112" i="22"/>
  <c r="B112" i="22"/>
  <c r="B114" i="8"/>
  <c r="F114" i="8"/>
  <c r="F116" i="10"/>
  <c r="B116" i="10"/>
  <c r="F113" i="3"/>
  <c r="B113" i="3"/>
  <c r="B114" i="6"/>
  <c r="F114" i="6"/>
  <c r="I115" i="7"/>
  <c r="H115" i="7"/>
  <c r="F105" i="37"/>
  <c r="B105" i="37"/>
  <c r="H114" i="9"/>
  <c r="I114" i="9"/>
  <c r="J114" i="9" s="1"/>
  <c r="B113" i="4"/>
  <c r="F113" i="4"/>
  <c r="B111" i="23"/>
  <c r="F111" i="23"/>
  <c r="H108" i="27"/>
  <c r="I108" i="27"/>
  <c r="J108" i="27" s="1"/>
  <c r="G105" i="38"/>
  <c r="E106" i="38"/>
  <c r="D106" i="38"/>
  <c r="B113" i="5"/>
  <c r="F113" i="5"/>
  <c r="I114" i="11"/>
  <c r="H114" i="11"/>
  <c r="I110" i="23"/>
  <c r="H110" i="23"/>
  <c r="J104" i="39"/>
  <c r="H104" i="40"/>
  <c r="I104" i="40"/>
  <c r="H111" i="25"/>
  <c r="I111" i="25"/>
  <c r="J111" i="25" s="1"/>
  <c r="H112" i="3"/>
  <c r="I112" i="3"/>
  <c r="J112" i="3" s="1"/>
  <c r="I113" i="6"/>
  <c r="H113" i="6"/>
  <c r="B107" i="30"/>
  <c r="F107" i="30"/>
  <c r="B115" i="9"/>
  <c r="F115" i="9"/>
  <c r="H111" i="22"/>
  <c r="I111" i="22"/>
  <c r="J111" i="22" s="1"/>
  <c r="I107" i="28"/>
  <c r="H107" i="28"/>
  <c r="B109" i="27"/>
  <c r="F109" i="27"/>
  <c r="J108" i="29"/>
  <c r="D110" i="29"/>
  <c r="G109" i="29"/>
  <c r="E110" i="29"/>
  <c r="D37" i="11"/>
  <c r="E37" i="11"/>
  <c r="H104" i="45"/>
  <c r="I104" i="45"/>
  <c r="I27" i="31"/>
  <c r="G36" i="11"/>
  <c r="D26" i="41"/>
  <c r="E26" i="41"/>
  <c r="D28" i="30"/>
  <c r="E28" i="30"/>
  <c r="E27" i="39"/>
  <c r="D27" i="39"/>
  <c r="B105" i="41"/>
  <c r="F105" i="41"/>
  <c r="B105" i="45"/>
  <c r="D31" i="24"/>
  <c r="E31" i="24"/>
  <c r="I31" i="23"/>
  <c r="E35" i="5"/>
  <c r="D35" i="5"/>
  <c r="B109" i="31"/>
  <c r="F109" i="31"/>
  <c r="D25" i="45"/>
  <c r="E25" i="45"/>
  <c r="I104" i="43"/>
  <c r="H104" i="43"/>
  <c r="H26" i="39"/>
  <c r="B30" i="29"/>
  <c r="F30" i="29"/>
  <c r="H30" i="29" s="1"/>
  <c r="D29" i="28"/>
  <c r="E29" i="28"/>
  <c r="D35" i="8"/>
  <c r="E35" i="8"/>
  <c r="B105" i="43"/>
  <c r="F105" i="43"/>
  <c r="G26" i="39"/>
  <c r="D33" i="22"/>
  <c r="E33" i="22"/>
  <c r="D25" i="42"/>
  <c r="E25" i="42"/>
  <c r="D38" i="7"/>
  <c r="E38" i="7"/>
  <c r="G24" i="42"/>
  <c r="D26" i="37"/>
  <c r="E26" i="37"/>
  <c r="I36" i="10"/>
  <c r="D26" i="38"/>
  <c r="E26" i="38"/>
  <c r="D27" i="13"/>
  <c r="D26" i="40"/>
  <c r="E26" i="40"/>
  <c r="H36" i="11"/>
  <c r="G34" i="5"/>
  <c r="I34" i="5" s="1"/>
  <c r="H108" i="31"/>
  <c r="I108" i="31"/>
  <c r="G25" i="38"/>
  <c r="I25" i="38" s="1"/>
  <c r="G25" i="40"/>
  <c r="I25" i="40" s="1"/>
  <c r="D32" i="23"/>
  <c r="E32" i="23"/>
  <c r="D35" i="4"/>
  <c r="E35" i="4"/>
  <c r="B28" i="31"/>
  <c r="F28" i="31"/>
  <c r="G28" i="31" s="1"/>
  <c r="D33" i="25"/>
  <c r="E33" i="25"/>
  <c r="D35" i="3"/>
  <c r="E35" i="3"/>
  <c r="D37" i="10"/>
  <c r="E37" i="10"/>
  <c r="D26" i="43"/>
  <c r="E26" i="43"/>
  <c r="H24" i="42"/>
  <c r="G30" i="24"/>
  <c r="I30" i="24" s="1"/>
  <c r="H37" i="7"/>
  <c r="I37" i="7" s="1"/>
  <c r="I104" i="41"/>
  <c r="H104" i="41"/>
  <c r="G34" i="8"/>
  <c r="I34" i="8" s="1"/>
  <c r="G32" i="25"/>
  <c r="I32" i="25" s="1"/>
  <c r="D106" i="39"/>
  <c r="G105" i="39"/>
  <c r="E106" i="39"/>
  <c r="E105" i="45"/>
  <c r="F105" i="45" s="1"/>
  <c r="G32" i="22"/>
  <c r="I32" i="22" s="1"/>
  <c r="J104" i="40" l="1"/>
  <c r="B25" i="46"/>
  <c r="F25" i="46"/>
  <c r="G25" i="46" s="1"/>
  <c r="I105" i="46"/>
  <c r="H105" i="46"/>
  <c r="E106" i="46"/>
  <c r="F106" i="46" s="1"/>
  <c r="B106" i="46"/>
  <c r="J107" i="28"/>
  <c r="J110" i="23"/>
  <c r="J112" i="4"/>
  <c r="E106" i="42"/>
  <c r="F106" i="42" s="1"/>
  <c r="B106" i="42"/>
  <c r="G30" i="29"/>
  <c r="I30" i="29" s="1"/>
  <c r="J104" i="44"/>
  <c r="H105" i="42"/>
  <c r="I105" i="42"/>
  <c r="I26" i="39"/>
  <c r="G29" i="27"/>
  <c r="I29" i="27" s="1"/>
  <c r="E106" i="13"/>
  <c r="F106" i="13" s="1"/>
  <c r="B106" i="13"/>
  <c r="G105" i="44"/>
  <c r="D106" i="44"/>
  <c r="H105" i="13"/>
  <c r="I105" i="13"/>
  <c r="G36" i="9"/>
  <c r="D37" i="9"/>
  <c r="E37" i="9"/>
  <c r="H28" i="31"/>
  <c r="I28" i="31" s="1"/>
  <c r="B35" i="6"/>
  <c r="F35" i="6"/>
  <c r="B25" i="44"/>
  <c r="F25" i="44"/>
  <c r="G25" i="44" s="1"/>
  <c r="E30" i="27"/>
  <c r="D30" i="27"/>
  <c r="J104" i="37"/>
  <c r="H36" i="9"/>
  <c r="F106" i="38"/>
  <c r="B106" i="38"/>
  <c r="G105" i="37"/>
  <c r="D106" i="37"/>
  <c r="E106" i="37"/>
  <c r="D117" i="10"/>
  <c r="G116" i="10"/>
  <c r="E117" i="10"/>
  <c r="G112" i="22"/>
  <c r="D113" i="22"/>
  <c r="E113" i="22"/>
  <c r="D111" i="24"/>
  <c r="E111" i="24"/>
  <c r="G110" i="24"/>
  <c r="J113" i="8"/>
  <c r="D109" i="28"/>
  <c r="G108" i="28"/>
  <c r="E109" i="28"/>
  <c r="D114" i="4"/>
  <c r="E114" i="4"/>
  <c r="G113" i="4"/>
  <c r="G114" i="6"/>
  <c r="E115" i="6"/>
  <c r="D115" i="6"/>
  <c r="J108" i="31"/>
  <c r="E116" i="9"/>
  <c r="D116" i="9"/>
  <c r="G115" i="9"/>
  <c r="J114" i="11"/>
  <c r="G111" i="23"/>
  <c r="D112" i="23"/>
  <c r="E112" i="23"/>
  <c r="G114" i="8"/>
  <c r="D115" i="8"/>
  <c r="E115" i="8"/>
  <c r="G116" i="7"/>
  <c r="E117" i="7"/>
  <c r="D117" i="7"/>
  <c r="G112" i="25"/>
  <c r="E113" i="25"/>
  <c r="D113" i="25"/>
  <c r="E110" i="27"/>
  <c r="D110" i="27"/>
  <c r="G109" i="27"/>
  <c r="E108" i="30"/>
  <c r="D108" i="30"/>
  <c r="G107" i="30"/>
  <c r="D116" i="11"/>
  <c r="G115" i="11"/>
  <c r="E116" i="11"/>
  <c r="J113" i="6"/>
  <c r="D114" i="5"/>
  <c r="G113" i="5"/>
  <c r="E114" i="5"/>
  <c r="I105" i="38"/>
  <c r="H105" i="38"/>
  <c r="J115" i="7"/>
  <c r="E114" i="3"/>
  <c r="D114" i="3"/>
  <c r="G113" i="3"/>
  <c r="E106" i="40"/>
  <c r="G105" i="40"/>
  <c r="D106" i="40"/>
  <c r="J115" i="10"/>
  <c r="F110" i="29"/>
  <c r="B110" i="29"/>
  <c r="H109" i="29"/>
  <c r="I109" i="29"/>
  <c r="J109" i="29" s="1"/>
  <c r="G105" i="45"/>
  <c r="D106" i="45"/>
  <c r="E106" i="45" s="1"/>
  <c r="F26" i="41"/>
  <c r="H26" i="41" s="1"/>
  <c r="B26" i="41"/>
  <c r="I36" i="11"/>
  <c r="F38" i="7"/>
  <c r="H38" i="7" s="1"/>
  <c r="B38" i="7"/>
  <c r="D106" i="43"/>
  <c r="G105" i="43"/>
  <c r="E106" i="43"/>
  <c r="F35" i="5"/>
  <c r="G35" i="5" s="1"/>
  <c r="B35" i="5"/>
  <c r="B35" i="4"/>
  <c r="F35" i="4"/>
  <c r="G35" i="4" s="1"/>
  <c r="B27" i="39"/>
  <c r="F27" i="39"/>
  <c r="G27" i="39" s="1"/>
  <c r="I24" i="42"/>
  <c r="F26" i="37"/>
  <c r="H26" i="37" s="1"/>
  <c r="B26" i="37"/>
  <c r="F26" i="40"/>
  <c r="H26" i="40" s="1"/>
  <c r="B26" i="40"/>
  <c r="F25" i="42"/>
  <c r="G25" i="42" s="1"/>
  <c r="B25" i="42"/>
  <c r="G105" i="41"/>
  <c r="D106" i="41"/>
  <c r="E106" i="41"/>
  <c r="B25" i="45"/>
  <c r="F25" i="45"/>
  <c r="H25" i="45" s="1"/>
  <c r="B26" i="43"/>
  <c r="F26" i="43"/>
  <c r="B35" i="3"/>
  <c r="F35" i="3"/>
  <c r="B33" i="25"/>
  <c r="F33" i="25"/>
  <c r="G33" i="25" s="1"/>
  <c r="B27" i="13"/>
  <c r="F33" i="22"/>
  <c r="G33" i="22" s="1"/>
  <c r="B33" i="22"/>
  <c r="F35" i="8"/>
  <c r="G35" i="8" s="1"/>
  <c r="B35" i="8"/>
  <c r="B106" i="39"/>
  <c r="F106" i="39"/>
  <c r="J104" i="41"/>
  <c r="B26" i="38"/>
  <c r="F26" i="38"/>
  <c r="H26" i="38" s="1"/>
  <c r="F32" i="23"/>
  <c r="G32" i="23" s="1"/>
  <c r="B32" i="23"/>
  <c r="F29" i="28"/>
  <c r="G29" i="28" s="1"/>
  <c r="B29" i="28"/>
  <c r="J104" i="43"/>
  <c r="B37" i="11"/>
  <c r="F37" i="11"/>
  <c r="H37" i="11" s="1"/>
  <c r="B37" i="10"/>
  <c r="F37" i="10"/>
  <c r="G37" i="10" s="1"/>
  <c r="H105" i="39"/>
  <c r="I105" i="39"/>
  <c r="D29" i="31"/>
  <c r="E29" i="31"/>
  <c r="E27" i="13"/>
  <c r="F27" i="13" s="1"/>
  <c r="D31" i="29"/>
  <c r="E31" i="29"/>
  <c r="G109" i="31"/>
  <c r="E110" i="31"/>
  <c r="D110" i="31"/>
  <c r="F31" i="24"/>
  <c r="G31" i="24" s="1"/>
  <c r="B31" i="24"/>
  <c r="F28" i="30"/>
  <c r="G28" i="30" s="1"/>
  <c r="B28" i="30"/>
  <c r="J104" i="45"/>
  <c r="H25" i="46" l="1"/>
  <c r="I25" i="46" s="1"/>
  <c r="E26" i="46"/>
  <c r="D26" i="46"/>
  <c r="D107" i="46"/>
  <c r="E107" i="46" s="1"/>
  <c r="G106" i="46"/>
  <c r="J105" i="46"/>
  <c r="J105" i="42"/>
  <c r="G37" i="11"/>
  <c r="I37" i="11" s="1"/>
  <c r="H35" i="8"/>
  <c r="I35" i="8" s="1"/>
  <c r="G106" i="42"/>
  <c r="D107" i="42"/>
  <c r="H29" i="28"/>
  <c r="I29" i="28" s="1"/>
  <c r="I36" i="9"/>
  <c r="G26" i="37"/>
  <c r="I26" i="37" s="1"/>
  <c r="B106" i="44"/>
  <c r="E106" i="44"/>
  <c r="F106" i="44" s="1"/>
  <c r="J105" i="39"/>
  <c r="I105" i="44"/>
  <c r="H105" i="44"/>
  <c r="H33" i="22"/>
  <c r="I33" i="22" s="1"/>
  <c r="G26" i="40"/>
  <c r="I26" i="40" s="1"/>
  <c r="J105" i="13"/>
  <c r="G106" i="13"/>
  <c r="D107" i="13"/>
  <c r="B30" i="27"/>
  <c r="F30" i="27"/>
  <c r="H35" i="6"/>
  <c r="E36" i="6"/>
  <c r="D36" i="6"/>
  <c r="H28" i="30"/>
  <c r="I28" i="30" s="1"/>
  <c r="H35" i="4"/>
  <c r="I35" i="4" s="1"/>
  <c r="G35" i="6"/>
  <c r="B37" i="9"/>
  <c r="F37" i="9"/>
  <c r="H37" i="9" s="1"/>
  <c r="H25" i="44"/>
  <c r="I25" i="44" s="1"/>
  <c r="D26" i="44"/>
  <c r="E26" i="44"/>
  <c r="H113" i="3"/>
  <c r="I113" i="3"/>
  <c r="J113" i="3" s="1"/>
  <c r="B114" i="5"/>
  <c r="F114" i="5"/>
  <c r="F116" i="11"/>
  <c r="B116" i="11"/>
  <c r="I109" i="27"/>
  <c r="H109" i="27"/>
  <c r="I116" i="7"/>
  <c r="H116" i="7"/>
  <c r="H115" i="9"/>
  <c r="I115" i="9"/>
  <c r="B115" i="6"/>
  <c r="F115" i="6"/>
  <c r="F109" i="28"/>
  <c r="B109" i="28"/>
  <c r="F111" i="24"/>
  <c r="B111" i="24"/>
  <c r="B106" i="37"/>
  <c r="F106" i="37"/>
  <c r="F106" i="40"/>
  <c r="B106" i="40"/>
  <c r="B114" i="3"/>
  <c r="F114" i="3"/>
  <c r="J105" i="38"/>
  <c r="I107" i="30"/>
  <c r="H107" i="30"/>
  <c r="B110" i="27"/>
  <c r="F110" i="27"/>
  <c r="I112" i="25"/>
  <c r="H112" i="25"/>
  <c r="B112" i="23"/>
  <c r="F112" i="23"/>
  <c r="B116" i="9"/>
  <c r="F116" i="9"/>
  <c r="F114" i="4"/>
  <c r="B114" i="4"/>
  <c r="H116" i="10"/>
  <c r="I116" i="10"/>
  <c r="I105" i="37"/>
  <c r="H105" i="37"/>
  <c r="H105" i="40"/>
  <c r="I105" i="40"/>
  <c r="B108" i="30"/>
  <c r="F108" i="30"/>
  <c r="B117" i="7"/>
  <c r="F117" i="7"/>
  <c r="F115" i="8"/>
  <c r="B115" i="8"/>
  <c r="H111" i="23"/>
  <c r="I111" i="23"/>
  <c r="I114" i="6"/>
  <c r="H114" i="6"/>
  <c r="I110" i="24"/>
  <c r="H110" i="24"/>
  <c r="B113" i="22"/>
  <c r="F113" i="22"/>
  <c r="F117" i="10"/>
  <c r="B117" i="10"/>
  <c r="H113" i="5"/>
  <c r="I113" i="5"/>
  <c r="I115" i="11"/>
  <c r="H115" i="11"/>
  <c r="F113" i="25"/>
  <c r="B113" i="25"/>
  <c r="H114" i="8"/>
  <c r="I114" i="8"/>
  <c r="I113" i="4"/>
  <c r="H113" i="4"/>
  <c r="I108" i="28"/>
  <c r="H108" i="28"/>
  <c r="I112" i="22"/>
  <c r="H112" i="22"/>
  <c r="G106" i="38"/>
  <c r="D107" i="38"/>
  <c r="E107" i="38"/>
  <c r="G110" i="29"/>
  <c r="E111" i="29"/>
  <c r="D111" i="29"/>
  <c r="D28" i="13"/>
  <c r="G27" i="13"/>
  <c r="H27" i="13"/>
  <c r="D28" i="39"/>
  <c r="E28" i="39"/>
  <c r="D39" i="7"/>
  <c r="E39" i="7"/>
  <c r="D27" i="41"/>
  <c r="E27" i="41"/>
  <c r="E107" i="39"/>
  <c r="G106" i="39"/>
  <c r="D107" i="39"/>
  <c r="D34" i="25"/>
  <c r="E34" i="25"/>
  <c r="H27" i="39"/>
  <c r="I27" i="39" s="1"/>
  <c r="D36" i="5"/>
  <c r="E36" i="5"/>
  <c r="B106" i="43"/>
  <c r="F106" i="43"/>
  <c r="B110" i="31"/>
  <c r="F110" i="31"/>
  <c r="H109" i="31"/>
  <c r="I109" i="31"/>
  <c r="H37" i="10"/>
  <c r="I37" i="10" s="1"/>
  <c r="E27" i="43"/>
  <c r="D27" i="43"/>
  <c r="I105" i="43"/>
  <c r="H105" i="43"/>
  <c r="B29" i="31"/>
  <c r="F29" i="31"/>
  <c r="G29" i="31" s="1"/>
  <c r="D38" i="11"/>
  <c r="E38" i="11"/>
  <c r="D30" i="28"/>
  <c r="E30" i="28"/>
  <c r="G26" i="38"/>
  <c r="I26" i="38" s="1"/>
  <c r="H33" i="25"/>
  <c r="I33" i="25" s="1"/>
  <c r="G26" i="43"/>
  <c r="H25" i="42"/>
  <c r="I25" i="42" s="1"/>
  <c r="D27" i="37"/>
  <c r="E27" i="37"/>
  <c r="H35" i="5"/>
  <c r="I35" i="5" s="1"/>
  <c r="D29" i="30"/>
  <c r="E29" i="30"/>
  <c r="D34" i="22"/>
  <c r="E34" i="22"/>
  <c r="H26" i="43"/>
  <c r="E36" i="4"/>
  <c r="D36" i="4"/>
  <c r="E33" i="23"/>
  <c r="D33" i="23"/>
  <c r="D36" i="3"/>
  <c r="E36" i="3"/>
  <c r="D32" i="24"/>
  <c r="E32" i="24"/>
  <c r="H32" i="23"/>
  <c r="I32" i="23" s="1"/>
  <c r="D27" i="38"/>
  <c r="E27" i="38"/>
  <c r="G35" i="3"/>
  <c r="D26" i="45"/>
  <c r="E26" i="45"/>
  <c r="F106" i="41"/>
  <c r="B106" i="41"/>
  <c r="D26" i="42"/>
  <c r="E26" i="42"/>
  <c r="G38" i="7"/>
  <c r="I38" i="7" s="1"/>
  <c r="B106" i="45"/>
  <c r="F106" i="45"/>
  <c r="D38" i="10"/>
  <c r="E38" i="10"/>
  <c r="D27" i="40"/>
  <c r="E27" i="40"/>
  <c r="F31" i="29"/>
  <c r="G31" i="29" s="1"/>
  <c r="B31" i="29"/>
  <c r="H31" i="24"/>
  <c r="I31" i="24" s="1"/>
  <c r="D36" i="8"/>
  <c r="E36" i="8"/>
  <c r="H35" i="3"/>
  <c r="G25" i="45"/>
  <c r="I25" i="45" s="1"/>
  <c r="I105" i="41"/>
  <c r="H105" i="41"/>
  <c r="G26" i="41"/>
  <c r="I26" i="41" s="1"/>
  <c r="H105" i="45"/>
  <c r="I105" i="45"/>
  <c r="F26" i="46" l="1"/>
  <c r="H26" i="46" s="1"/>
  <c r="B26" i="46"/>
  <c r="G26" i="46"/>
  <c r="G37" i="9"/>
  <c r="I37" i="9" s="1"/>
  <c r="H106" i="46"/>
  <c r="I106" i="46"/>
  <c r="F107" i="46"/>
  <c r="B107" i="46"/>
  <c r="H29" i="31"/>
  <c r="I29" i="31" s="1"/>
  <c r="J109" i="31"/>
  <c r="J109" i="27"/>
  <c r="J112" i="22"/>
  <c r="J116" i="10"/>
  <c r="J114" i="8"/>
  <c r="J114" i="6"/>
  <c r="J113" i="4"/>
  <c r="B107" i="42"/>
  <c r="E107" i="42"/>
  <c r="F107" i="42" s="1"/>
  <c r="I106" i="42"/>
  <c r="H106" i="42"/>
  <c r="I26" i="43"/>
  <c r="I27" i="13"/>
  <c r="E107" i="13"/>
  <c r="F107" i="13" s="1"/>
  <c r="B107" i="13"/>
  <c r="D107" i="44"/>
  <c r="E107" i="44" s="1"/>
  <c r="G106" i="44"/>
  <c r="H106" i="13"/>
  <c r="I106" i="13"/>
  <c r="J105" i="44"/>
  <c r="D31" i="27"/>
  <c r="E31" i="27"/>
  <c r="B36" i="6"/>
  <c r="F36" i="6"/>
  <c r="J105" i="37"/>
  <c r="I35" i="6"/>
  <c r="H30" i="27"/>
  <c r="J105" i="40"/>
  <c r="B26" i="44"/>
  <c r="F26" i="44"/>
  <c r="H26" i="44" s="1"/>
  <c r="E38" i="9"/>
  <c r="D38" i="9"/>
  <c r="G30" i="27"/>
  <c r="D114" i="25"/>
  <c r="E114" i="25"/>
  <c r="G113" i="25"/>
  <c r="D116" i="8"/>
  <c r="E116" i="8"/>
  <c r="G115" i="8"/>
  <c r="G114" i="4"/>
  <c r="D115" i="4"/>
  <c r="E115" i="4"/>
  <c r="G114" i="3"/>
  <c r="E115" i="3"/>
  <c r="D115" i="3"/>
  <c r="D107" i="37"/>
  <c r="E107" i="37"/>
  <c r="G106" i="37"/>
  <c r="J115" i="9"/>
  <c r="E115" i="5"/>
  <c r="G114" i="5"/>
  <c r="D115" i="5"/>
  <c r="B107" i="38"/>
  <c r="F107" i="38"/>
  <c r="J111" i="23"/>
  <c r="D118" i="7"/>
  <c r="E118" i="7"/>
  <c r="G117" i="7"/>
  <c r="E117" i="9"/>
  <c r="D117" i="9"/>
  <c r="G116" i="9"/>
  <c r="E110" i="28"/>
  <c r="G109" i="28"/>
  <c r="D110" i="28"/>
  <c r="J105" i="45"/>
  <c r="I106" i="38"/>
  <c r="H106" i="38"/>
  <c r="J108" i="28"/>
  <c r="J115" i="11"/>
  <c r="D118" i="10"/>
  <c r="G117" i="10"/>
  <c r="E118" i="10"/>
  <c r="J110" i="24"/>
  <c r="J112" i="25"/>
  <c r="J107" i="30"/>
  <c r="D116" i="6"/>
  <c r="E116" i="6"/>
  <c r="G115" i="6"/>
  <c r="J113" i="5"/>
  <c r="G113" i="22"/>
  <c r="D114" i="22"/>
  <c r="E114" i="22"/>
  <c r="D109" i="30"/>
  <c r="E109" i="30"/>
  <c r="G108" i="30"/>
  <c r="D113" i="23"/>
  <c r="G112" i="23"/>
  <c r="E113" i="23"/>
  <c r="D111" i="27"/>
  <c r="E111" i="27"/>
  <c r="G110" i="27"/>
  <c r="G106" i="40"/>
  <c r="D107" i="40"/>
  <c r="E107" i="40"/>
  <c r="G111" i="24"/>
  <c r="D112" i="24"/>
  <c r="E112" i="24"/>
  <c r="J116" i="7"/>
  <c r="D117" i="11"/>
  <c r="G116" i="11"/>
  <c r="E117" i="11"/>
  <c r="B111" i="29"/>
  <c r="F111" i="29"/>
  <c r="H110" i="29"/>
  <c r="I110" i="29"/>
  <c r="D107" i="41"/>
  <c r="G106" i="41"/>
  <c r="E107" i="41"/>
  <c r="F38" i="11"/>
  <c r="G38" i="11" s="1"/>
  <c r="B38" i="11"/>
  <c r="B27" i="37"/>
  <c r="F27" i="37"/>
  <c r="G27" i="37" s="1"/>
  <c r="D111" i="31"/>
  <c r="G110" i="31"/>
  <c r="E111" i="31"/>
  <c r="D32" i="29"/>
  <c r="E32" i="29"/>
  <c r="B38" i="10"/>
  <c r="F38" i="10"/>
  <c r="H38" i="10" s="1"/>
  <c r="F26" i="45"/>
  <c r="G26" i="45" s="1"/>
  <c r="B26" i="45"/>
  <c r="B29" i="30"/>
  <c r="F29" i="30"/>
  <c r="G29" i="30" s="1"/>
  <c r="J105" i="43"/>
  <c r="B27" i="41"/>
  <c r="F27" i="41"/>
  <c r="G27" i="41" s="1"/>
  <c r="B33" i="23"/>
  <c r="F33" i="23"/>
  <c r="H33" i="23" s="1"/>
  <c r="B36" i="5"/>
  <c r="F36" i="5"/>
  <c r="H36" i="5" s="1"/>
  <c r="I35" i="3"/>
  <c r="H31" i="29"/>
  <c r="I31" i="29" s="1"/>
  <c r="G106" i="45"/>
  <c r="D107" i="45"/>
  <c r="E107" i="45" s="1"/>
  <c r="F27" i="38"/>
  <c r="G27" i="38" s="1"/>
  <c r="B27" i="38"/>
  <c r="B36" i="4"/>
  <c r="F36" i="4"/>
  <c r="G36" i="4" s="1"/>
  <c r="D30" i="31"/>
  <c r="E30" i="31"/>
  <c r="B27" i="43"/>
  <c r="F27" i="43"/>
  <c r="G27" i="43" s="1"/>
  <c r="H106" i="39"/>
  <c r="I106" i="39"/>
  <c r="F34" i="22"/>
  <c r="B34" i="22"/>
  <c r="F36" i="3"/>
  <c r="H36" i="3" s="1"/>
  <c r="B36" i="3"/>
  <c r="D107" i="43"/>
  <c r="G106" i="43"/>
  <c r="E107" i="43"/>
  <c r="B39" i="7"/>
  <c r="F39" i="7"/>
  <c r="G39" i="7" s="1"/>
  <c r="B28" i="13"/>
  <c r="F36" i="8"/>
  <c r="G36" i="8" s="1"/>
  <c r="B36" i="8"/>
  <c r="F27" i="40"/>
  <c r="H27" i="40" s="1"/>
  <c r="B27" i="40"/>
  <c r="F30" i="28"/>
  <c r="G30" i="28" s="1"/>
  <c r="B30" i="28"/>
  <c r="B34" i="25"/>
  <c r="F34" i="25"/>
  <c r="G34" i="25" s="1"/>
  <c r="E28" i="13"/>
  <c r="F28" i="13" s="1"/>
  <c r="J105" i="41"/>
  <c r="B26" i="42"/>
  <c r="F26" i="42"/>
  <c r="G26" i="42" s="1"/>
  <c r="B32" i="24"/>
  <c r="F32" i="24"/>
  <c r="G32" i="24" s="1"/>
  <c r="F107" i="39"/>
  <c r="B107" i="39"/>
  <c r="F28" i="39"/>
  <c r="G28" i="39" s="1"/>
  <c r="B28" i="39"/>
  <c r="J106" i="46" l="1"/>
  <c r="I26" i="46"/>
  <c r="D27" i="46"/>
  <c r="E27" i="46"/>
  <c r="D108" i="46"/>
  <c r="G107" i="46"/>
  <c r="H26" i="45"/>
  <c r="H27" i="38"/>
  <c r="I27" i="38" s="1"/>
  <c r="J106" i="42"/>
  <c r="G107" i="42"/>
  <c r="D108" i="42"/>
  <c r="G107" i="13"/>
  <c r="D108" i="13"/>
  <c r="H30" i="28"/>
  <c r="I30" i="28" s="1"/>
  <c r="G26" i="44"/>
  <c r="I26" i="44" s="1"/>
  <c r="H106" i="44"/>
  <c r="I106" i="44"/>
  <c r="G38" i="10"/>
  <c r="I38" i="10" s="1"/>
  <c r="H27" i="37"/>
  <c r="I27" i="37" s="1"/>
  <c r="H38" i="11"/>
  <c r="I38" i="11" s="1"/>
  <c r="H32" i="24"/>
  <c r="I32" i="24" s="1"/>
  <c r="H34" i="25"/>
  <c r="I34" i="25" s="1"/>
  <c r="H36" i="4"/>
  <c r="H29" i="30"/>
  <c r="I29" i="30" s="1"/>
  <c r="I30" i="27"/>
  <c r="J106" i="13"/>
  <c r="B107" i="44"/>
  <c r="F107" i="44"/>
  <c r="F38" i="9"/>
  <c r="G38" i="9" s="1"/>
  <c r="B38" i="9"/>
  <c r="G36" i="6"/>
  <c r="D37" i="6"/>
  <c r="E37" i="6"/>
  <c r="G27" i="40"/>
  <c r="I27" i="40" s="1"/>
  <c r="H36" i="8"/>
  <c r="I36" i="8" s="1"/>
  <c r="H27" i="41"/>
  <c r="I27" i="41" s="1"/>
  <c r="H39" i="7"/>
  <c r="I39" i="7" s="1"/>
  <c r="E27" i="44"/>
  <c r="D27" i="44"/>
  <c r="H36" i="6"/>
  <c r="I36" i="6" s="1"/>
  <c r="B31" i="27"/>
  <c r="F31" i="27"/>
  <c r="H31" i="27" s="1"/>
  <c r="F107" i="40"/>
  <c r="B107" i="40"/>
  <c r="F111" i="27"/>
  <c r="B111" i="27"/>
  <c r="H108" i="30"/>
  <c r="I108" i="30"/>
  <c r="J108" i="30" s="1"/>
  <c r="F114" i="22"/>
  <c r="B114" i="22"/>
  <c r="I116" i="9"/>
  <c r="H116" i="9"/>
  <c r="F115" i="3"/>
  <c r="B115" i="3"/>
  <c r="B115" i="4"/>
  <c r="F115" i="4"/>
  <c r="B116" i="8"/>
  <c r="F116" i="8"/>
  <c r="H116" i="11"/>
  <c r="I116" i="11"/>
  <c r="J116" i="11" s="1"/>
  <c r="B112" i="24"/>
  <c r="F112" i="24"/>
  <c r="H106" i="40"/>
  <c r="I106" i="40"/>
  <c r="H113" i="22"/>
  <c r="I113" i="22"/>
  <c r="B116" i="6"/>
  <c r="F116" i="6"/>
  <c r="B110" i="28"/>
  <c r="F110" i="28"/>
  <c r="B117" i="9"/>
  <c r="F117" i="9"/>
  <c r="F118" i="7"/>
  <c r="B118" i="7"/>
  <c r="B115" i="5"/>
  <c r="F115" i="5"/>
  <c r="I106" i="37"/>
  <c r="H106" i="37"/>
  <c r="H114" i="4"/>
  <c r="I114" i="4"/>
  <c r="I113" i="25"/>
  <c r="H113" i="25"/>
  <c r="J110" i="29"/>
  <c r="B117" i="11"/>
  <c r="F117" i="11"/>
  <c r="H111" i="24"/>
  <c r="I111" i="24"/>
  <c r="H110" i="27"/>
  <c r="I110" i="27"/>
  <c r="H112" i="23"/>
  <c r="I112" i="23"/>
  <c r="F109" i="30"/>
  <c r="B109" i="30"/>
  <c r="H117" i="10"/>
  <c r="I117" i="10"/>
  <c r="I109" i="28"/>
  <c r="H109" i="28"/>
  <c r="I114" i="5"/>
  <c r="H114" i="5"/>
  <c r="H114" i="3"/>
  <c r="I114" i="3"/>
  <c r="I115" i="8"/>
  <c r="H115" i="8"/>
  <c r="B113" i="23"/>
  <c r="F113" i="23"/>
  <c r="I115" i="6"/>
  <c r="H115" i="6"/>
  <c r="B118" i="10"/>
  <c r="F118" i="10"/>
  <c r="J106" i="38"/>
  <c r="H117" i="7"/>
  <c r="I117" i="7"/>
  <c r="E108" i="38"/>
  <c r="G107" i="38"/>
  <c r="D108" i="38"/>
  <c r="F107" i="37"/>
  <c r="B107" i="37"/>
  <c r="F114" i="25"/>
  <c r="B114" i="25"/>
  <c r="G111" i="29"/>
  <c r="D112" i="29"/>
  <c r="E112" i="29"/>
  <c r="J106" i="39"/>
  <c r="H106" i="43"/>
  <c r="I106" i="43"/>
  <c r="B30" i="31"/>
  <c r="F30" i="31"/>
  <c r="H30" i="31" s="1"/>
  <c r="I26" i="45"/>
  <c r="F32" i="29"/>
  <c r="B32" i="29"/>
  <c r="D37" i="8"/>
  <c r="E37" i="8"/>
  <c r="D28" i="43"/>
  <c r="E28" i="43"/>
  <c r="E34" i="23"/>
  <c r="D34" i="23"/>
  <c r="D35" i="22"/>
  <c r="E35" i="22"/>
  <c r="H106" i="45"/>
  <c r="I106" i="45"/>
  <c r="D27" i="42"/>
  <c r="E27" i="42"/>
  <c r="D33" i="24"/>
  <c r="E33" i="24"/>
  <c r="D27" i="45"/>
  <c r="E27" i="45"/>
  <c r="H110" i="31"/>
  <c r="I110" i="31"/>
  <c r="D29" i="13"/>
  <c r="E29" i="13" s="1"/>
  <c r="D31" i="28"/>
  <c r="E31" i="28"/>
  <c r="G28" i="13"/>
  <c r="H27" i="43"/>
  <c r="I27" i="43" s="1"/>
  <c r="D28" i="38"/>
  <c r="E28" i="38"/>
  <c r="G33" i="23"/>
  <c r="I33" i="23" s="1"/>
  <c r="B111" i="31"/>
  <c r="F111" i="31"/>
  <c r="D39" i="11"/>
  <c r="E39" i="11"/>
  <c r="B107" i="43"/>
  <c r="F107" i="43"/>
  <c r="D40" i="7"/>
  <c r="E40" i="7"/>
  <c r="D37" i="3"/>
  <c r="E37" i="3"/>
  <c r="D35" i="25"/>
  <c r="E35" i="25"/>
  <c r="H28" i="13"/>
  <c r="H34" i="22"/>
  <c r="I36" i="4"/>
  <c r="D37" i="5"/>
  <c r="E37" i="5"/>
  <c r="H106" i="41"/>
  <c r="I106" i="41"/>
  <c r="E108" i="39"/>
  <c r="G107" i="39"/>
  <c r="D108" i="39"/>
  <c r="D29" i="39"/>
  <c r="E29" i="39"/>
  <c r="H28" i="39"/>
  <c r="I28" i="39" s="1"/>
  <c r="H26" i="42"/>
  <c r="I26" i="42" s="1"/>
  <c r="D28" i="40"/>
  <c r="E28" i="40"/>
  <c r="G36" i="3"/>
  <c r="I36" i="3" s="1"/>
  <c r="G34" i="22"/>
  <c r="E37" i="4"/>
  <c r="D37" i="4"/>
  <c r="B107" i="45"/>
  <c r="F107" i="45"/>
  <c r="G36" i="5"/>
  <c r="I36" i="5" s="1"/>
  <c r="E28" i="41"/>
  <c r="D28" i="41"/>
  <c r="D30" i="30"/>
  <c r="E30" i="30"/>
  <c r="D39" i="10"/>
  <c r="E39" i="10"/>
  <c r="D28" i="37"/>
  <c r="E28" i="37"/>
  <c r="B107" i="41"/>
  <c r="F107" i="41"/>
  <c r="J106" i="44" l="1"/>
  <c r="B27" i="46"/>
  <c r="F27" i="46"/>
  <c r="G27" i="46"/>
  <c r="H107" i="46"/>
  <c r="I107" i="46"/>
  <c r="E108" i="46"/>
  <c r="F108" i="46"/>
  <c r="B108" i="46"/>
  <c r="J106" i="43"/>
  <c r="J114" i="3"/>
  <c r="J110" i="27"/>
  <c r="J110" i="31"/>
  <c r="J106" i="45"/>
  <c r="J117" i="7"/>
  <c r="J114" i="4"/>
  <c r="J115" i="6"/>
  <c r="J115" i="8"/>
  <c r="J114" i="5"/>
  <c r="J113" i="22"/>
  <c r="I107" i="42"/>
  <c r="H107" i="42"/>
  <c r="B108" i="42"/>
  <c r="E108" i="42"/>
  <c r="F108" i="42" s="1"/>
  <c r="H38" i="9"/>
  <c r="I38" i="9" s="1"/>
  <c r="D108" i="44"/>
  <c r="G107" i="44"/>
  <c r="G30" i="31"/>
  <c r="I30" i="31" s="1"/>
  <c r="E108" i="13"/>
  <c r="F108" i="13" s="1"/>
  <c r="B108" i="13"/>
  <c r="J106" i="40"/>
  <c r="H107" i="13"/>
  <c r="I107" i="13"/>
  <c r="J107" i="13" s="1"/>
  <c r="F37" i="6"/>
  <c r="H37" i="6" s="1"/>
  <c r="B37" i="6"/>
  <c r="G31" i="27"/>
  <c r="I31" i="27" s="1"/>
  <c r="D32" i="27"/>
  <c r="E32" i="27"/>
  <c r="B27" i="44"/>
  <c r="F27" i="44"/>
  <c r="E39" i="9"/>
  <c r="D39" i="9"/>
  <c r="D115" i="25"/>
  <c r="G114" i="25"/>
  <c r="E115" i="25"/>
  <c r="H107" i="38"/>
  <c r="I107" i="38"/>
  <c r="G110" i="28"/>
  <c r="E111" i="28"/>
  <c r="D111" i="28"/>
  <c r="D113" i="24"/>
  <c r="E113" i="24"/>
  <c r="G112" i="24"/>
  <c r="G116" i="8"/>
  <c r="E117" i="8"/>
  <c r="D117" i="8"/>
  <c r="E119" i="10"/>
  <c r="D119" i="10"/>
  <c r="G118" i="10"/>
  <c r="D114" i="23"/>
  <c r="E114" i="23"/>
  <c r="G113" i="23"/>
  <c r="G117" i="11"/>
  <c r="D118" i="11"/>
  <c r="E118" i="11"/>
  <c r="J113" i="25"/>
  <c r="J106" i="37"/>
  <c r="E119" i="7"/>
  <c r="D119" i="7"/>
  <c r="G118" i="7"/>
  <c r="G115" i="3"/>
  <c r="D116" i="3"/>
  <c r="E116" i="3"/>
  <c r="G114" i="22"/>
  <c r="E115" i="22"/>
  <c r="D115" i="22"/>
  <c r="D112" i="27"/>
  <c r="E112" i="27"/>
  <c r="G111" i="27"/>
  <c r="D108" i="37"/>
  <c r="G107" i="37"/>
  <c r="E108" i="37"/>
  <c r="J109" i="28"/>
  <c r="E110" i="30"/>
  <c r="G109" i="30"/>
  <c r="D110" i="30"/>
  <c r="D116" i="5"/>
  <c r="E116" i="5"/>
  <c r="G115" i="5"/>
  <c r="G117" i="9"/>
  <c r="E118" i="9"/>
  <c r="D118" i="9"/>
  <c r="D117" i="6"/>
  <c r="E117" i="6"/>
  <c r="G116" i="6"/>
  <c r="E116" i="4"/>
  <c r="G115" i="4"/>
  <c r="D116" i="4"/>
  <c r="B108" i="38"/>
  <c r="F108" i="38"/>
  <c r="J117" i="10"/>
  <c r="J112" i="23"/>
  <c r="J111" i="24"/>
  <c r="J116" i="9"/>
  <c r="E108" i="40"/>
  <c r="G107" i="40"/>
  <c r="D108" i="40"/>
  <c r="B112" i="29"/>
  <c r="F112" i="29"/>
  <c r="H111" i="29"/>
  <c r="I111" i="29"/>
  <c r="B35" i="25"/>
  <c r="F35" i="25"/>
  <c r="G35" i="25" s="1"/>
  <c r="F33" i="24"/>
  <c r="G33" i="24" s="1"/>
  <c r="B33" i="24"/>
  <c r="B28" i="37"/>
  <c r="F28" i="37"/>
  <c r="G28" i="37" s="1"/>
  <c r="D108" i="45"/>
  <c r="E108" i="45" s="1"/>
  <c r="G107" i="45"/>
  <c r="B29" i="39"/>
  <c r="F29" i="39"/>
  <c r="J106" i="41"/>
  <c r="I34" i="22"/>
  <c r="F28" i="38"/>
  <c r="G28" i="38" s="1"/>
  <c r="B28" i="38"/>
  <c r="B35" i="22"/>
  <c r="F35" i="22"/>
  <c r="H35" i="22" s="1"/>
  <c r="B34" i="23"/>
  <c r="F34" i="23"/>
  <c r="H107" i="39"/>
  <c r="I107" i="39"/>
  <c r="B37" i="4"/>
  <c r="F37" i="4"/>
  <c r="H37" i="4" s="1"/>
  <c r="B37" i="3"/>
  <c r="F37" i="3"/>
  <c r="H37" i="3" s="1"/>
  <c r="E33" i="29"/>
  <c r="D33" i="29"/>
  <c r="F28" i="43"/>
  <c r="H28" i="43" s="1"/>
  <c r="B28" i="43"/>
  <c r="D108" i="41"/>
  <c r="G107" i="41"/>
  <c r="E108" i="41"/>
  <c r="F28" i="40"/>
  <c r="G28" i="40" s="1"/>
  <c r="B28" i="40"/>
  <c r="I28" i="13"/>
  <c r="E112" i="31"/>
  <c r="D112" i="31"/>
  <c r="G111" i="31"/>
  <c r="B27" i="45"/>
  <c r="F27" i="45"/>
  <c r="H27" i="45" s="1"/>
  <c r="B27" i="42"/>
  <c r="F27" i="42"/>
  <c r="G27" i="42" s="1"/>
  <c r="G32" i="29"/>
  <c r="D31" i="31"/>
  <c r="E31" i="31"/>
  <c r="B31" i="28"/>
  <c r="F31" i="28"/>
  <c r="H31" i="28" s="1"/>
  <c r="B39" i="10"/>
  <c r="F39" i="10"/>
  <c r="H39" i="10" s="1"/>
  <c r="F39" i="11"/>
  <c r="H39" i="11" s="1"/>
  <c r="B39" i="11"/>
  <c r="F29" i="13"/>
  <c r="B29" i="13"/>
  <c r="B30" i="30"/>
  <c r="F30" i="30"/>
  <c r="G30" i="30" s="1"/>
  <c r="F40" i="7"/>
  <c r="H40" i="7" s="1"/>
  <c r="B40" i="7"/>
  <c r="B37" i="8"/>
  <c r="F37" i="8"/>
  <c r="G37" i="8" s="1"/>
  <c r="H32" i="29"/>
  <c r="F28" i="41"/>
  <c r="G28" i="41" s="1"/>
  <c r="B28" i="41"/>
  <c r="F108" i="39"/>
  <c r="B108" i="39"/>
  <c r="B37" i="5"/>
  <c r="F37" i="5"/>
  <c r="H37" i="5" s="1"/>
  <c r="D108" i="43"/>
  <c r="G107" i="43"/>
  <c r="E108" i="43"/>
  <c r="J107" i="46" l="1"/>
  <c r="E28" i="46"/>
  <c r="D28" i="46"/>
  <c r="G37" i="3"/>
  <c r="I37" i="3" s="1"/>
  <c r="H27" i="46"/>
  <c r="I27" i="46" s="1"/>
  <c r="G108" i="46"/>
  <c r="D109" i="46"/>
  <c r="G37" i="6"/>
  <c r="I37" i="6" s="1"/>
  <c r="I32" i="29"/>
  <c r="D109" i="42"/>
  <c r="G108" i="42"/>
  <c r="G39" i="10"/>
  <c r="I39" i="10" s="1"/>
  <c r="J107" i="42"/>
  <c r="G28" i="43"/>
  <c r="I28" i="43" s="1"/>
  <c r="H35" i="25"/>
  <c r="I35" i="25" s="1"/>
  <c r="J107" i="38"/>
  <c r="D109" i="13"/>
  <c r="G108" i="13"/>
  <c r="I107" i="44"/>
  <c r="H107" i="44"/>
  <c r="H27" i="42"/>
  <c r="I27" i="42" s="1"/>
  <c r="E108" i="44"/>
  <c r="F108" i="44" s="1"/>
  <c r="B108" i="44"/>
  <c r="G39" i="11"/>
  <c r="I39" i="11" s="1"/>
  <c r="H28" i="40"/>
  <c r="I28" i="40" s="1"/>
  <c r="D28" i="44"/>
  <c r="E28" i="44"/>
  <c r="F39" i="9"/>
  <c r="H39" i="9" s="1"/>
  <c r="B39" i="9"/>
  <c r="G27" i="44"/>
  <c r="F32" i="27"/>
  <c r="H32" i="27" s="1"/>
  <c r="B32" i="27"/>
  <c r="G37" i="5"/>
  <c r="I37" i="5" s="1"/>
  <c r="H28" i="41"/>
  <c r="I28" i="41" s="1"/>
  <c r="H37" i="8"/>
  <c r="I37" i="8" s="1"/>
  <c r="G27" i="45"/>
  <c r="I27" i="45" s="1"/>
  <c r="H28" i="37"/>
  <c r="I28" i="37" s="1"/>
  <c r="H27" i="44"/>
  <c r="D38" i="6"/>
  <c r="E38" i="6"/>
  <c r="B116" i="4"/>
  <c r="F116" i="4"/>
  <c r="H117" i="9"/>
  <c r="I117" i="9"/>
  <c r="J117" i="9" s="1"/>
  <c r="F110" i="30"/>
  <c r="B110" i="30"/>
  <c r="H114" i="22"/>
  <c r="I114" i="22"/>
  <c r="J114" i="22" s="1"/>
  <c r="I118" i="7"/>
  <c r="H118" i="7"/>
  <c r="H113" i="23"/>
  <c r="I113" i="23"/>
  <c r="J113" i="23" s="1"/>
  <c r="F119" i="10"/>
  <c r="B119" i="10"/>
  <c r="H116" i="8"/>
  <c r="I116" i="8"/>
  <c r="J116" i="8" s="1"/>
  <c r="B111" i="28"/>
  <c r="F111" i="28"/>
  <c r="D109" i="38"/>
  <c r="E109" i="38"/>
  <c r="G108" i="38"/>
  <c r="I115" i="4"/>
  <c r="H115" i="4"/>
  <c r="B117" i="6"/>
  <c r="F117" i="6"/>
  <c r="I115" i="5"/>
  <c r="H115" i="5"/>
  <c r="H109" i="30"/>
  <c r="I109" i="30"/>
  <c r="I107" i="37"/>
  <c r="H107" i="37"/>
  <c r="F112" i="27"/>
  <c r="B112" i="27"/>
  <c r="F119" i="7"/>
  <c r="B119" i="7"/>
  <c r="H112" i="24"/>
  <c r="I112" i="24"/>
  <c r="F108" i="40"/>
  <c r="B108" i="40"/>
  <c r="F118" i="9"/>
  <c r="B118" i="9"/>
  <c r="B108" i="37"/>
  <c r="F108" i="37"/>
  <c r="F115" i="22"/>
  <c r="B115" i="22"/>
  <c r="B116" i="3"/>
  <c r="F116" i="3"/>
  <c r="B118" i="11"/>
  <c r="F118" i="11"/>
  <c r="B114" i="23"/>
  <c r="F114" i="23"/>
  <c r="B117" i="8"/>
  <c r="F117" i="8"/>
  <c r="H110" i="28"/>
  <c r="I110" i="28"/>
  <c r="H114" i="25"/>
  <c r="I114" i="25"/>
  <c r="H107" i="40"/>
  <c r="I107" i="40"/>
  <c r="H116" i="6"/>
  <c r="I116" i="6"/>
  <c r="B116" i="5"/>
  <c r="F116" i="5"/>
  <c r="H111" i="27"/>
  <c r="I111" i="27"/>
  <c r="I115" i="3"/>
  <c r="H115" i="3"/>
  <c r="I117" i="11"/>
  <c r="H117" i="11"/>
  <c r="H118" i="10"/>
  <c r="I118" i="10"/>
  <c r="B113" i="24"/>
  <c r="F113" i="24"/>
  <c r="F115" i="25"/>
  <c r="B115" i="25"/>
  <c r="D113" i="29"/>
  <c r="G112" i="29"/>
  <c r="E113" i="29"/>
  <c r="J111" i="29"/>
  <c r="B108" i="41"/>
  <c r="F108" i="41"/>
  <c r="D35" i="23"/>
  <c r="E35" i="23"/>
  <c r="E30" i="39"/>
  <c r="D30" i="39"/>
  <c r="D38" i="5"/>
  <c r="E38" i="5"/>
  <c r="E38" i="8"/>
  <c r="D38" i="8"/>
  <c r="D31" i="30"/>
  <c r="E31" i="30"/>
  <c r="D32" i="28"/>
  <c r="E32" i="28"/>
  <c r="F33" i="29"/>
  <c r="G33" i="29" s="1"/>
  <c r="B33" i="29"/>
  <c r="D38" i="4"/>
  <c r="E38" i="4"/>
  <c r="H34" i="23"/>
  <c r="D41" i="7"/>
  <c r="E41" i="7"/>
  <c r="D28" i="45"/>
  <c r="E28" i="45"/>
  <c r="H107" i="45"/>
  <c r="I107" i="45"/>
  <c r="D30" i="13"/>
  <c r="E30" i="13" s="1"/>
  <c r="D109" i="39"/>
  <c r="E109" i="39"/>
  <c r="G108" i="39"/>
  <c r="G40" i="7"/>
  <c r="I40" i="7" s="1"/>
  <c r="H30" i="30"/>
  <c r="I30" i="30" s="1"/>
  <c r="D40" i="11"/>
  <c r="E40" i="11"/>
  <c r="G31" i="28"/>
  <c r="I31" i="28" s="1"/>
  <c r="G37" i="4"/>
  <c r="I37" i="4" s="1"/>
  <c r="D36" i="22"/>
  <c r="E36" i="22"/>
  <c r="H28" i="38"/>
  <c r="I28" i="38" s="1"/>
  <c r="F108" i="45"/>
  <c r="B108" i="45"/>
  <c r="H33" i="24"/>
  <c r="I33" i="24" s="1"/>
  <c r="D36" i="25"/>
  <c r="E36" i="25"/>
  <c r="H107" i="43"/>
  <c r="I107" i="43"/>
  <c r="G29" i="13"/>
  <c r="D28" i="42"/>
  <c r="E28" i="42"/>
  <c r="D29" i="40"/>
  <c r="E29" i="40"/>
  <c r="D29" i="43"/>
  <c r="E29" i="43"/>
  <c r="J107" i="39"/>
  <c r="G35" i="22"/>
  <c r="I35" i="22" s="1"/>
  <c r="B108" i="43"/>
  <c r="F108" i="43"/>
  <c r="E40" i="10"/>
  <c r="D40" i="10"/>
  <c r="B31" i="31"/>
  <c r="F31" i="31"/>
  <c r="G31" i="31" s="1"/>
  <c r="I111" i="31"/>
  <c r="H111" i="31"/>
  <c r="E38" i="3"/>
  <c r="D38" i="3"/>
  <c r="D29" i="38"/>
  <c r="E29" i="38"/>
  <c r="H29" i="39"/>
  <c r="E29" i="37"/>
  <c r="D29" i="37"/>
  <c r="D34" i="24"/>
  <c r="E34" i="24"/>
  <c r="D29" i="41"/>
  <c r="E29" i="41"/>
  <c r="H29" i="13"/>
  <c r="I29" i="13" s="1"/>
  <c r="B112" i="31"/>
  <c r="F112" i="31"/>
  <c r="I107" i="41"/>
  <c r="H107" i="41"/>
  <c r="G34" i="23"/>
  <c r="G29" i="39"/>
  <c r="F28" i="46" l="1"/>
  <c r="G28" i="46" s="1"/>
  <c r="B28" i="46"/>
  <c r="H28" i="46"/>
  <c r="B109" i="46"/>
  <c r="H108" i="46"/>
  <c r="I108" i="46"/>
  <c r="E109" i="46"/>
  <c r="F109" i="46" s="1"/>
  <c r="J117" i="11"/>
  <c r="I27" i="44"/>
  <c r="J112" i="24"/>
  <c r="J118" i="7"/>
  <c r="J115" i="3"/>
  <c r="E109" i="42"/>
  <c r="F109" i="42" s="1"/>
  <c r="B109" i="42"/>
  <c r="G39" i="9"/>
  <c r="I39" i="9" s="1"/>
  <c r="H108" i="42"/>
  <c r="I108" i="42"/>
  <c r="G108" i="44"/>
  <c r="D109" i="44"/>
  <c r="J107" i="44"/>
  <c r="H33" i="29"/>
  <c r="I33" i="29" s="1"/>
  <c r="I108" i="13"/>
  <c r="H108" i="13"/>
  <c r="E109" i="13"/>
  <c r="F109" i="13" s="1"/>
  <c r="B109" i="13"/>
  <c r="I29" i="39"/>
  <c r="F38" i="6"/>
  <c r="G38" i="6" s="1"/>
  <c r="B38" i="6"/>
  <c r="B28" i="44"/>
  <c r="F28" i="44"/>
  <c r="G28" i="44" s="1"/>
  <c r="J107" i="43"/>
  <c r="D33" i="27"/>
  <c r="E33" i="27"/>
  <c r="G32" i="27"/>
  <c r="I32" i="27" s="1"/>
  <c r="D40" i="9"/>
  <c r="E40" i="9"/>
  <c r="J107" i="41"/>
  <c r="J118" i="10"/>
  <c r="G116" i="5"/>
  <c r="D117" i="5"/>
  <c r="E117" i="5"/>
  <c r="J107" i="40"/>
  <c r="J110" i="28"/>
  <c r="E115" i="23"/>
  <c r="D115" i="23"/>
  <c r="G114" i="23"/>
  <c r="D117" i="3"/>
  <c r="E117" i="3"/>
  <c r="G116" i="3"/>
  <c r="E109" i="37"/>
  <c r="G108" i="37"/>
  <c r="D109" i="37"/>
  <c r="E113" i="27"/>
  <c r="G112" i="27"/>
  <c r="D113" i="27"/>
  <c r="G115" i="25"/>
  <c r="D116" i="25"/>
  <c r="E116" i="25"/>
  <c r="D109" i="40"/>
  <c r="E109" i="40"/>
  <c r="G108" i="40"/>
  <c r="F109" i="38"/>
  <c r="B109" i="38"/>
  <c r="D114" i="24"/>
  <c r="E114" i="24"/>
  <c r="G113" i="24"/>
  <c r="J111" i="27"/>
  <c r="J116" i="6"/>
  <c r="J114" i="25"/>
  <c r="E118" i="8"/>
  <c r="D118" i="8"/>
  <c r="G117" i="8"/>
  <c r="G118" i="11"/>
  <c r="D119" i="11"/>
  <c r="E119" i="11"/>
  <c r="G119" i="7"/>
  <c r="D120" i="7"/>
  <c r="E120" i="7"/>
  <c r="J107" i="37"/>
  <c r="J115" i="5"/>
  <c r="J115" i="4"/>
  <c r="E112" i="28"/>
  <c r="G111" i="28"/>
  <c r="D112" i="28"/>
  <c r="G116" i="4"/>
  <c r="E117" i="4"/>
  <c r="D117" i="4"/>
  <c r="D116" i="22"/>
  <c r="G115" i="22"/>
  <c r="E116" i="22"/>
  <c r="E119" i="9"/>
  <c r="D119" i="9"/>
  <c r="G118" i="9"/>
  <c r="J109" i="30"/>
  <c r="E118" i="6"/>
  <c r="D118" i="6"/>
  <c r="G117" i="6"/>
  <c r="I108" i="38"/>
  <c r="H108" i="38"/>
  <c r="D120" i="10"/>
  <c r="G119" i="10"/>
  <c r="E120" i="10"/>
  <c r="D111" i="30"/>
  <c r="E111" i="30"/>
  <c r="G110" i="30"/>
  <c r="I112" i="29"/>
  <c r="H112" i="29"/>
  <c r="J107" i="45"/>
  <c r="F113" i="29"/>
  <c r="B113" i="29"/>
  <c r="F38" i="5"/>
  <c r="B38" i="5"/>
  <c r="B35" i="23"/>
  <c r="F35" i="23"/>
  <c r="G35" i="23" s="1"/>
  <c r="B30" i="13"/>
  <c r="F30" i="13"/>
  <c r="G30" i="13" s="1"/>
  <c r="B31" i="30"/>
  <c r="F31" i="30"/>
  <c r="H31" i="30" s="1"/>
  <c r="G108" i="41"/>
  <c r="D109" i="41"/>
  <c r="E109" i="41"/>
  <c r="D32" i="31"/>
  <c r="E32" i="31"/>
  <c r="B29" i="43"/>
  <c r="F29" i="43"/>
  <c r="H29" i="43" s="1"/>
  <c r="B41" i="7"/>
  <c r="F41" i="7"/>
  <c r="G41" i="7" s="1"/>
  <c r="F38" i="8"/>
  <c r="H38" i="8" s="1"/>
  <c r="B38" i="8"/>
  <c r="B30" i="39"/>
  <c r="F30" i="39"/>
  <c r="G30" i="39" s="1"/>
  <c r="F38" i="4"/>
  <c r="H38" i="4" s="1"/>
  <c r="B38" i="4"/>
  <c r="B28" i="42"/>
  <c r="F28" i="42"/>
  <c r="H28" i="42" s="1"/>
  <c r="B109" i="39"/>
  <c r="F109" i="39"/>
  <c r="B36" i="25"/>
  <c r="F36" i="25"/>
  <c r="H36" i="25" s="1"/>
  <c r="F36" i="22"/>
  <c r="B36" i="22"/>
  <c r="G112" i="31"/>
  <c r="E113" i="31"/>
  <c r="D113" i="31"/>
  <c r="F29" i="38"/>
  <c r="H29" i="38" s="1"/>
  <c r="B29" i="38"/>
  <c r="H31" i="31"/>
  <c r="I31" i="31" s="1"/>
  <c r="F29" i="40"/>
  <c r="H29" i="40" s="1"/>
  <c r="B29" i="40"/>
  <c r="F28" i="45"/>
  <c r="G28" i="45" s="1"/>
  <c r="B28" i="45"/>
  <c r="J111" i="31"/>
  <c r="F29" i="41"/>
  <c r="H29" i="41" s="1"/>
  <c r="B29" i="41"/>
  <c r="G108" i="43"/>
  <c r="D109" i="43"/>
  <c r="E109" i="43"/>
  <c r="F34" i="24"/>
  <c r="G34" i="24" s="1"/>
  <c r="B34" i="24"/>
  <c r="B38" i="3"/>
  <c r="F38" i="3"/>
  <c r="H38" i="3" s="1"/>
  <c r="B40" i="10"/>
  <c r="F40" i="10"/>
  <c r="H40" i="10" s="1"/>
  <c r="I34" i="23"/>
  <c r="D34" i="29"/>
  <c r="E34" i="29"/>
  <c r="F29" i="37"/>
  <c r="G29" i="37" s="1"/>
  <c r="B29" i="37"/>
  <c r="G108" i="45"/>
  <c r="D109" i="45"/>
  <c r="E109" i="45" s="1"/>
  <c r="B40" i="11"/>
  <c r="F40" i="11"/>
  <c r="G40" i="11" s="1"/>
  <c r="I108" i="39"/>
  <c r="H108" i="39"/>
  <c r="B32" i="28"/>
  <c r="F32" i="28"/>
  <c r="H32" i="28" s="1"/>
  <c r="J108" i="46" l="1"/>
  <c r="I28" i="46"/>
  <c r="D29" i="46"/>
  <c r="E29" i="46"/>
  <c r="D110" i="46"/>
  <c r="G109" i="46"/>
  <c r="G38" i="3"/>
  <c r="H28" i="44"/>
  <c r="I28" i="44" s="1"/>
  <c r="J108" i="42"/>
  <c r="G31" i="30"/>
  <c r="I31" i="30" s="1"/>
  <c r="D110" i="42"/>
  <c r="G109" i="42"/>
  <c r="G32" i="28"/>
  <c r="I32" i="28" s="1"/>
  <c r="G29" i="38"/>
  <c r="I29" i="38" s="1"/>
  <c r="G29" i="43"/>
  <c r="I29" i="43" s="1"/>
  <c r="G109" i="13"/>
  <c r="D110" i="13"/>
  <c r="B110" i="13" s="1"/>
  <c r="G29" i="41"/>
  <c r="I29" i="41" s="1"/>
  <c r="H35" i="23"/>
  <c r="I35" i="23" s="1"/>
  <c r="E109" i="44"/>
  <c r="F109" i="44" s="1"/>
  <c r="B109" i="44"/>
  <c r="H34" i="24"/>
  <c r="I34" i="24" s="1"/>
  <c r="J108" i="13"/>
  <c r="I108" i="44"/>
  <c r="H108" i="44"/>
  <c r="H30" i="13"/>
  <c r="I30" i="13" s="1"/>
  <c r="H38" i="6"/>
  <c r="I38" i="6" s="1"/>
  <c r="D39" i="6"/>
  <c r="E39" i="6"/>
  <c r="B40" i="9"/>
  <c r="F40" i="9"/>
  <c r="G40" i="9" s="1"/>
  <c r="I38" i="3"/>
  <c r="G29" i="40"/>
  <c r="I29" i="40" s="1"/>
  <c r="E29" i="44"/>
  <c r="D29" i="44"/>
  <c r="B33" i="27"/>
  <c r="F33" i="27"/>
  <c r="H28" i="45"/>
  <c r="I28" i="45" s="1"/>
  <c r="B120" i="10"/>
  <c r="F120" i="10"/>
  <c r="F118" i="6"/>
  <c r="B118" i="6"/>
  <c r="F119" i="9"/>
  <c r="B119" i="9"/>
  <c r="F116" i="22"/>
  <c r="B116" i="22"/>
  <c r="F112" i="28"/>
  <c r="B112" i="28"/>
  <c r="H119" i="7"/>
  <c r="I119" i="7"/>
  <c r="I117" i="8"/>
  <c r="H117" i="8"/>
  <c r="B114" i="24"/>
  <c r="F114" i="24"/>
  <c r="H115" i="25"/>
  <c r="I115" i="25"/>
  <c r="F109" i="37"/>
  <c r="B109" i="37"/>
  <c r="F117" i="5"/>
  <c r="B117" i="5"/>
  <c r="B111" i="30"/>
  <c r="F111" i="30"/>
  <c r="F117" i="4"/>
  <c r="B117" i="4"/>
  <c r="I111" i="28"/>
  <c r="H111" i="28"/>
  <c r="B118" i="8"/>
  <c r="F118" i="8"/>
  <c r="B109" i="40"/>
  <c r="F109" i="40"/>
  <c r="F113" i="27"/>
  <c r="B113" i="27"/>
  <c r="I108" i="37"/>
  <c r="H108" i="37"/>
  <c r="B117" i="3"/>
  <c r="F117" i="3"/>
  <c r="I116" i="5"/>
  <c r="H116" i="5"/>
  <c r="J108" i="38"/>
  <c r="B119" i="11"/>
  <c r="F119" i="11"/>
  <c r="H113" i="24"/>
  <c r="I113" i="24"/>
  <c r="G109" i="38"/>
  <c r="D110" i="38"/>
  <c r="E110" i="38"/>
  <c r="I112" i="27"/>
  <c r="H112" i="27"/>
  <c r="I114" i="23"/>
  <c r="H114" i="23"/>
  <c r="H110" i="30"/>
  <c r="I110" i="30"/>
  <c r="J110" i="30" s="1"/>
  <c r="H119" i="10"/>
  <c r="I119" i="10"/>
  <c r="I117" i="6"/>
  <c r="H117" i="6"/>
  <c r="I118" i="9"/>
  <c r="H118" i="9"/>
  <c r="H115" i="22"/>
  <c r="I115" i="22"/>
  <c r="J115" i="22" s="1"/>
  <c r="H116" i="4"/>
  <c r="I116" i="4"/>
  <c r="B120" i="7"/>
  <c r="F120" i="7"/>
  <c r="H118" i="11"/>
  <c r="I118" i="11"/>
  <c r="H108" i="40"/>
  <c r="I108" i="40"/>
  <c r="B116" i="25"/>
  <c r="F116" i="25"/>
  <c r="I116" i="3"/>
  <c r="H116" i="3"/>
  <c r="F115" i="23"/>
  <c r="B115" i="23"/>
  <c r="G113" i="29"/>
  <c r="D114" i="29"/>
  <c r="E114" i="29"/>
  <c r="J112" i="29"/>
  <c r="H108" i="43"/>
  <c r="I108" i="43"/>
  <c r="F109" i="41"/>
  <c r="B109" i="41"/>
  <c r="D39" i="5"/>
  <c r="E39" i="5"/>
  <c r="J108" i="39"/>
  <c r="F109" i="45"/>
  <c r="B109" i="45"/>
  <c r="E30" i="38"/>
  <c r="D30" i="38"/>
  <c r="D37" i="25"/>
  <c r="E37" i="25"/>
  <c r="G28" i="42"/>
  <c r="I28" i="42" s="1"/>
  <c r="H30" i="39"/>
  <c r="I30" i="39" s="1"/>
  <c r="I108" i="41"/>
  <c r="H108" i="41"/>
  <c r="D31" i="13"/>
  <c r="E31" i="13" s="1"/>
  <c r="E36" i="23"/>
  <c r="D36" i="23"/>
  <c r="E35" i="24"/>
  <c r="D35" i="24"/>
  <c r="H112" i="31"/>
  <c r="I112" i="31"/>
  <c r="B34" i="29"/>
  <c r="F34" i="29"/>
  <c r="H34" i="29" s="1"/>
  <c r="F32" i="31"/>
  <c r="B32" i="31"/>
  <c r="D41" i="10"/>
  <c r="E41" i="10"/>
  <c r="G40" i="10"/>
  <c r="I40" i="10" s="1"/>
  <c r="D37" i="22"/>
  <c r="E37" i="22"/>
  <c r="I108" i="45"/>
  <c r="H108" i="45"/>
  <c r="D41" i="11"/>
  <c r="E41" i="11"/>
  <c r="H29" i="37"/>
  <c r="I29" i="37" s="1"/>
  <c r="D30" i="41"/>
  <c r="E30" i="41"/>
  <c r="D30" i="40"/>
  <c r="E30" i="40"/>
  <c r="G36" i="25"/>
  <c r="I36" i="25" s="1"/>
  <c r="G38" i="4"/>
  <c r="I38" i="4" s="1"/>
  <c r="G38" i="8"/>
  <c r="I38" i="8" s="1"/>
  <c r="H41" i="7"/>
  <c r="I41" i="7" s="1"/>
  <c r="D32" i="30"/>
  <c r="E32" i="30"/>
  <c r="F113" i="31"/>
  <c r="B113" i="31"/>
  <c r="E33" i="28"/>
  <c r="D33" i="28"/>
  <c r="H40" i="11"/>
  <c r="I40" i="11" s="1"/>
  <c r="D39" i="3"/>
  <c r="E39" i="3"/>
  <c r="D29" i="45"/>
  <c r="E29" i="45"/>
  <c r="H36" i="22"/>
  <c r="E110" i="39"/>
  <c r="D110" i="39"/>
  <c r="G109" i="39"/>
  <c r="D30" i="43"/>
  <c r="E30" i="43"/>
  <c r="H38" i="5"/>
  <c r="D30" i="37"/>
  <c r="E30" i="37"/>
  <c r="G36" i="22"/>
  <c r="E39" i="4"/>
  <c r="D39" i="4"/>
  <c r="E39" i="8"/>
  <c r="D39" i="8"/>
  <c r="D42" i="7"/>
  <c r="E42" i="7"/>
  <c r="G38" i="5"/>
  <c r="F109" i="43"/>
  <c r="B109" i="43"/>
  <c r="D29" i="42"/>
  <c r="E29" i="42"/>
  <c r="E31" i="39"/>
  <c r="D31" i="39"/>
  <c r="F29" i="46" l="1"/>
  <c r="B29" i="46"/>
  <c r="H29" i="46"/>
  <c r="I109" i="46"/>
  <c r="H109" i="46"/>
  <c r="E110" i="46"/>
  <c r="F110" i="46" s="1"/>
  <c r="B110" i="46"/>
  <c r="J119" i="7"/>
  <c r="J115" i="25"/>
  <c r="E110" i="13"/>
  <c r="F110" i="13" s="1"/>
  <c r="G110" i="13" s="1"/>
  <c r="J114" i="23"/>
  <c r="J118" i="9"/>
  <c r="I109" i="42"/>
  <c r="H109" i="42"/>
  <c r="B110" i="42"/>
  <c r="E110" i="42"/>
  <c r="F110" i="42" s="1"/>
  <c r="D110" i="44"/>
  <c r="G109" i="44"/>
  <c r="I109" i="13"/>
  <c r="H109" i="13"/>
  <c r="J108" i="44"/>
  <c r="G33" i="27"/>
  <c r="D34" i="27"/>
  <c r="E34" i="27"/>
  <c r="G34" i="29"/>
  <c r="I34" i="29" s="1"/>
  <c r="F29" i="44"/>
  <c r="G29" i="44" s="1"/>
  <c r="B29" i="44"/>
  <c r="D41" i="9"/>
  <c r="E41" i="9"/>
  <c r="H33" i="27"/>
  <c r="H40" i="9"/>
  <c r="I40" i="9" s="1"/>
  <c r="F39" i="6"/>
  <c r="G39" i="6" s="1"/>
  <c r="B39" i="6"/>
  <c r="D116" i="23"/>
  <c r="E116" i="23"/>
  <c r="G115" i="23"/>
  <c r="E110" i="40"/>
  <c r="G109" i="40"/>
  <c r="D110" i="40"/>
  <c r="G111" i="30"/>
  <c r="E112" i="30"/>
  <c r="D112" i="30"/>
  <c r="D115" i="24"/>
  <c r="E115" i="24"/>
  <c r="G114" i="24"/>
  <c r="J108" i="40"/>
  <c r="G120" i="7"/>
  <c r="E121" i="7"/>
  <c r="D121" i="7"/>
  <c r="F110" i="38"/>
  <c r="B110" i="38"/>
  <c r="D120" i="11"/>
  <c r="E120" i="11"/>
  <c r="G119" i="11"/>
  <c r="J116" i="5"/>
  <c r="J108" i="37"/>
  <c r="J111" i="28"/>
  <c r="D110" i="37"/>
  <c r="G109" i="37"/>
  <c r="E110" i="37"/>
  <c r="E117" i="22"/>
  <c r="D117" i="22"/>
  <c r="G116" i="22"/>
  <c r="D119" i="6"/>
  <c r="G118" i="6"/>
  <c r="E119" i="6"/>
  <c r="J116" i="3"/>
  <c r="J117" i="6"/>
  <c r="H109" i="38"/>
  <c r="I109" i="38"/>
  <c r="G117" i="3"/>
  <c r="E118" i="3"/>
  <c r="D118" i="3"/>
  <c r="E119" i="8"/>
  <c r="D119" i="8"/>
  <c r="G118" i="8"/>
  <c r="G120" i="10"/>
  <c r="D121" i="10"/>
  <c r="E121" i="10"/>
  <c r="J112" i="31"/>
  <c r="G116" i="25"/>
  <c r="E117" i="25"/>
  <c r="D117" i="25"/>
  <c r="J118" i="11"/>
  <c r="J116" i="4"/>
  <c r="J119" i="10"/>
  <c r="J112" i="27"/>
  <c r="J113" i="24"/>
  <c r="D114" i="27"/>
  <c r="E114" i="27"/>
  <c r="G113" i="27"/>
  <c r="G117" i="4"/>
  <c r="D118" i="4"/>
  <c r="E118" i="4"/>
  <c r="D118" i="5"/>
  <c r="G117" i="5"/>
  <c r="E118" i="5"/>
  <c r="J117" i="8"/>
  <c r="D113" i="28"/>
  <c r="E113" i="28"/>
  <c r="G112" i="28"/>
  <c r="G119" i="9"/>
  <c r="D120" i="9"/>
  <c r="E120" i="9"/>
  <c r="F114" i="29"/>
  <c r="B114" i="29"/>
  <c r="J108" i="45"/>
  <c r="H113" i="29"/>
  <c r="I113" i="29"/>
  <c r="D110" i="43"/>
  <c r="G109" i="43"/>
  <c r="E110" i="43"/>
  <c r="F36" i="23"/>
  <c r="G36" i="23" s="1"/>
  <c r="B36" i="23"/>
  <c r="B31" i="39"/>
  <c r="F31" i="39"/>
  <c r="H31" i="39" s="1"/>
  <c r="B30" i="38"/>
  <c r="F30" i="38"/>
  <c r="B30" i="37"/>
  <c r="F30" i="37"/>
  <c r="H30" i="37" s="1"/>
  <c r="B39" i="4"/>
  <c r="F39" i="4"/>
  <c r="B35" i="24"/>
  <c r="F35" i="24"/>
  <c r="G35" i="24" s="1"/>
  <c r="J108" i="41"/>
  <c r="G109" i="45"/>
  <c r="D110" i="45"/>
  <c r="E110" i="45" s="1"/>
  <c r="F29" i="42"/>
  <c r="G29" i="42" s="1"/>
  <c r="B29" i="42"/>
  <c r="B110" i="39"/>
  <c r="F110" i="39"/>
  <c r="D35" i="29"/>
  <c r="E35" i="29"/>
  <c r="F33" i="28"/>
  <c r="G33" i="28" s="1"/>
  <c r="B33" i="28"/>
  <c r="F39" i="5"/>
  <c r="B39" i="5"/>
  <c r="G113" i="31"/>
  <c r="D114" i="31"/>
  <c r="E114" i="31"/>
  <c r="G109" i="41"/>
  <c r="D110" i="41"/>
  <c r="E110" i="41"/>
  <c r="F37" i="22"/>
  <c r="G37" i="22" s="1"/>
  <c r="B37" i="22"/>
  <c r="I36" i="22"/>
  <c r="F31" i="13"/>
  <c r="H31" i="13" s="1"/>
  <c r="B31" i="13"/>
  <c r="D33" i="31"/>
  <c r="E33" i="31"/>
  <c r="F30" i="41"/>
  <c r="H30" i="41" s="1"/>
  <c r="B30" i="41"/>
  <c r="B41" i="11"/>
  <c r="F41" i="11"/>
  <c r="F39" i="3"/>
  <c r="B39" i="3"/>
  <c r="F32" i="30"/>
  <c r="G32" i="30" s="1"/>
  <c r="B32" i="30"/>
  <c r="G32" i="31"/>
  <c r="B39" i="8"/>
  <c r="F39" i="8"/>
  <c r="H39" i="8" s="1"/>
  <c r="B30" i="43"/>
  <c r="F30" i="43"/>
  <c r="G30" i="43" s="1"/>
  <c r="H109" i="39"/>
  <c r="I109" i="39"/>
  <c r="B42" i="7"/>
  <c r="F42" i="7"/>
  <c r="H42" i="7" s="1"/>
  <c r="I38" i="5"/>
  <c r="F29" i="45"/>
  <c r="H29" i="45" s="1"/>
  <c r="B29" i="45"/>
  <c r="B30" i="40"/>
  <c r="F30" i="40"/>
  <c r="H30" i="40" s="1"/>
  <c r="F41" i="10"/>
  <c r="B41" i="10"/>
  <c r="H32" i="31"/>
  <c r="F37" i="25"/>
  <c r="H37" i="25" s="1"/>
  <c r="B37" i="25"/>
  <c r="J108" i="43"/>
  <c r="H39" i="6" l="1"/>
  <c r="H29" i="44"/>
  <c r="D111" i="13"/>
  <c r="B111" i="13" s="1"/>
  <c r="G29" i="46"/>
  <c r="I29" i="46" s="1"/>
  <c r="E30" i="46"/>
  <c r="D30" i="46"/>
  <c r="D111" i="46"/>
  <c r="G110" i="46"/>
  <c r="J109" i="46"/>
  <c r="I33" i="27"/>
  <c r="I39" i="6"/>
  <c r="G110" i="42"/>
  <c r="D111" i="42"/>
  <c r="G42" i="7"/>
  <c r="I42" i="7" s="1"/>
  <c r="G39" i="8"/>
  <c r="I39" i="8" s="1"/>
  <c r="G30" i="41"/>
  <c r="I30" i="41" s="1"/>
  <c r="H33" i="28"/>
  <c r="I33" i="28" s="1"/>
  <c r="G29" i="45"/>
  <c r="I29" i="45" s="1"/>
  <c r="H35" i="24"/>
  <c r="I35" i="24" s="1"/>
  <c r="J109" i="42"/>
  <c r="J109" i="13"/>
  <c r="H109" i="44"/>
  <c r="I109" i="44"/>
  <c r="I32" i="31"/>
  <c r="I110" i="13"/>
  <c r="H110" i="13"/>
  <c r="E110" i="44"/>
  <c r="F110" i="44" s="1"/>
  <c r="B110" i="44"/>
  <c r="I29" i="44"/>
  <c r="F34" i="27"/>
  <c r="G34" i="27" s="1"/>
  <c r="B34" i="27"/>
  <c r="H37" i="22"/>
  <c r="I37" i="22" s="1"/>
  <c r="G31" i="13"/>
  <c r="I31" i="13" s="1"/>
  <c r="E40" i="6"/>
  <c r="D40" i="6"/>
  <c r="F41" i="9"/>
  <c r="B41" i="9"/>
  <c r="E30" i="44"/>
  <c r="D30" i="44"/>
  <c r="H117" i="5"/>
  <c r="I117" i="5"/>
  <c r="H117" i="4"/>
  <c r="I117" i="4"/>
  <c r="I118" i="8"/>
  <c r="H118" i="8"/>
  <c r="F119" i="6"/>
  <c r="B119" i="6"/>
  <c r="B120" i="11"/>
  <c r="F120" i="11"/>
  <c r="H114" i="24"/>
  <c r="I114" i="24"/>
  <c r="J114" i="24" s="1"/>
  <c r="B120" i="9"/>
  <c r="F120" i="9"/>
  <c r="B113" i="28"/>
  <c r="F113" i="28"/>
  <c r="F118" i="5"/>
  <c r="B118" i="5"/>
  <c r="H113" i="27"/>
  <c r="I113" i="27"/>
  <c r="J113" i="27" s="1"/>
  <c r="F117" i="25"/>
  <c r="B117" i="25"/>
  <c r="B119" i="8"/>
  <c r="F119" i="8"/>
  <c r="H117" i="3"/>
  <c r="I117" i="3"/>
  <c r="H116" i="22"/>
  <c r="I116" i="22"/>
  <c r="H109" i="37"/>
  <c r="I109" i="37"/>
  <c r="I120" i="7"/>
  <c r="H120" i="7"/>
  <c r="H111" i="30"/>
  <c r="I111" i="30"/>
  <c r="H115" i="23"/>
  <c r="I115" i="23"/>
  <c r="J109" i="39"/>
  <c r="J113" i="29"/>
  <c r="H119" i="9"/>
  <c r="I119" i="9"/>
  <c r="J119" i="9" s="1"/>
  <c r="F121" i="10"/>
  <c r="B121" i="10"/>
  <c r="J109" i="38"/>
  <c r="F117" i="22"/>
  <c r="B117" i="22"/>
  <c r="F110" i="37"/>
  <c r="B110" i="37"/>
  <c r="I119" i="11"/>
  <c r="H119" i="11"/>
  <c r="D111" i="38"/>
  <c r="E111" i="38"/>
  <c r="G110" i="38"/>
  <c r="B115" i="24"/>
  <c r="F115" i="24"/>
  <c r="B110" i="40"/>
  <c r="F110" i="40"/>
  <c r="H112" i="28"/>
  <c r="I112" i="28"/>
  <c r="B118" i="4"/>
  <c r="F118" i="4"/>
  <c r="F114" i="27"/>
  <c r="B114" i="27"/>
  <c r="H116" i="25"/>
  <c r="I116" i="25"/>
  <c r="H120" i="10"/>
  <c r="I120" i="10"/>
  <c r="B118" i="3"/>
  <c r="F118" i="3"/>
  <c r="I118" i="6"/>
  <c r="H118" i="6"/>
  <c r="B121" i="7"/>
  <c r="F121" i="7"/>
  <c r="B112" i="30"/>
  <c r="F112" i="30"/>
  <c r="H109" i="40"/>
  <c r="I109" i="40"/>
  <c r="B116" i="23"/>
  <c r="F116" i="23"/>
  <c r="G114" i="29"/>
  <c r="D115" i="29"/>
  <c r="E115" i="29"/>
  <c r="D40" i="3"/>
  <c r="E40" i="3"/>
  <c r="E42" i="11"/>
  <c r="D42" i="11"/>
  <c r="D31" i="38"/>
  <c r="E31" i="38"/>
  <c r="G39" i="3"/>
  <c r="D31" i="40"/>
  <c r="E31" i="40"/>
  <c r="D40" i="8"/>
  <c r="E40" i="8"/>
  <c r="G41" i="11"/>
  <c r="I113" i="31"/>
  <c r="H113" i="31"/>
  <c r="H29" i="42"/>
  <c r="I29" i="42" s="1"/>
  <c r="F110" i="45"/>
  <c r="B110" i="45"/>
  <c r="E36" i="24"/>
  <c r="D36" i="24"/>
  <c r="G30" i="37"/>
  <c r="I30" i="37" s="1"/>
  <c r="D32" i="39"/>
  <c r="E32" i="39"/>
  <c r="F33" i="31"/>
  <c r="G33" i="31" s="1"/>
  <c r="B33" i="31"/>
  <c r="I109" i="41"/>
  <c r="H109" i="41"/>
  <c r="E40" i="5"/>
  <c r="D40" i="5"/>
  <c r="E40" i="4"/>
  <c r="D40" i="4"/>
  <c r="E37" i="23"/>
  <c r="D37" i="23"/>
  <c r="D42" i="10"/>
  <c r="E42" i="10"/>
  <c r="B114" i="31"/>
  <c r="F114" i="31"/>
  <c r="G39" i="5"/>
  <c r="G37" i="25"/>
  <c r="I37" i="25" s="1"/>
  <c r="G30" i="40"/>
  <c r="I30" i="40" s="1"/>
  <c r="D30" i="45"/>
  <c r="E30" i="45"/>
  <c r="E38" i="22"/>
  <c r="D38" i="22"/>
  <c r="H109" i="45"/>
  <c r="I109" i="45"/>
  <c r="G31" i="39"/>
  <c r="I31" i="39" s="1"/>
  <c r="H109" i="43"/>
  <c r="I109" i="43"/>
  <c r="D34" i="28"/>
  <c r="E34" i="28"/>
  <c r="D33" i="30"/>
  <c r="E33" i="30"/>
  <c r="D31" i="37"/>
  <c r="E31" i="37"/>
  <c r="H32" i="30"/>
  <c r="I32" i="30" s="1"/>
  <c r="F35" i="29"/>
  <c r="H35" i="29" s="1"/>
  <c r="B35" i="29"/>
  <c r="H41" i="10"/>
  <c r="G39" i="4"/>
  <c r="G30" i="38"/>
  <c r="H36" i="23"/>
  <c r="I36" i="23" s="1"/>
  <c r="D38" i="25"/>
  <c r="E38" i="25"/>
  <c r="D30" i="42"/>
  <c r="E30" i="42"/>
  <c r="F110" i="43"/>
  <c r="B110" i="43"/>
  <c r="E31" i="43"/>
  <c r="D31" i="43"/>
  <c r="D31" i="41"/>
  <c r="E31" i="41"/>
  <c r="D32" i="13"/>
  <c r="E32" i="13" s="1"/>
  <c r="G41" i="10"/>
  <c r="D43" i="7"/>
  <c r="E43" i="7"/>
  <c r="H30" i="43"/>
  <c r="I30" i="43" s="1"/>
  <c r="H39" i="3"/>
  <c r="H41" i="11"/>
  <c r="F110" i="41"/>
  <c r="B110" i="41"/>
  <c r="H39" i="5"/>
  <c r="D111" i="39"/>
  <c r="E111" i="39"/>
  <c r="G110" i="39"/>
  <c r="H39" i="4"/>
  <c r="H30" i="38"/>
  <c r="E111" i="13" l="1"/>
  <c r="F111" i="13" s="1"/>
  <c r="F30" i="46"/>
  <c r="B30" i="46"/>
  <c r="H30" i="46"/>
  <c r="I110" i="46"/>
  <c r="H110" i="46"/>
  <c r="E111" i="46"/>
  <c r="F111" i="46"/>
  <c r="B111" i="46"/>
  <c r="I30" i="38"/>
  <c r="J120" i="10"/>
  <c r="G111" i="13"/>
  <c r="D112" i="13"/>
  <c r="J111" i="30"/>
  <c r="J112" i="28"/>
  <c r="J116" i="22"/>
  <c r="J119" i="11"/>
  <c r="J117" i="5"/>
  <c r="J117" i="4"/>
  <c r="J117" i="3"/>
  <c r="I39" i="5"/>
  <c r="I39" i="3"/>
  <c r="H33" i="31"/>
  <c r="E111" i="42"/>
  <c r="F111" i="42" s="1"/>
  <c r="B111" i="42"/>
  <c r="J109" i="37"/>
  <c r="J109" i="44"/>
  <c r="I110" i="42"/>
  <c r="H110" i="42"/>
  <c r="D111" i="44"/>
  <c r="G110" i="44"/>
  <c r="G35" i="29"/>
  <c r="I35" i="29" s="1"/>
  <c r="J110" i="13"/>
  <c r="I41" i="10"/>
  <c r="E42" i="9"/>
  <c r="D42" i="9"/>
  <c r="B40" i="6"/>
  <c r="F40" i="6"/>
  <c r="H40" i="6" s="1"/>
  <c r="B30" i="44"/>
  <c r="F30" i="44"/>
  <c r="G41" i="9"/>
  <c r="E35" i="27"/>
  <c r="D35" i="27"/>
  <c r="H41" i="9"/>
  <c r="H34" i="27"/>
  <c r="I34" i="27" s="1"/>
  <c r="J109" i="40"/>
  <c r="E122" i="7"/>
  <c r="G121" i="7"/>
  <c r="D122" i="7"/>
  <c r="E119" i="3"/>
  <c r="D119" i="3"/>
  <c r="G118" i="3"/>
  <c r="J116" i="25"/>
  <c r="D119" i="4"/>
  <c r="E119" i="4"/>
  <c r="G118" i="4"/>
  <c r="D111" i="40"/>
  <c r="E111" i="40"/>
  <c r="G110" i="40"/>
  <c r="H110" i="38"/>
  <c r="I110" i="38"/>
  <c r="D118" i="22"/>
  <c r="E118" i="22"/>
  <c r="G117" i="22"/>
  <c r="J115" i="23"/>
  <c r="G119" i="8"/>
  <c r="D120" i="8"/>
  <c r="E120" i="8"/>
  <c r="D114" i="28"/>
  <c r="E114" i="28"/>
  <c r="G113" i="28"/>
  <c r="J120" i="7"/>
  <c r="D120" i="6"/>
  <c r="G119" i="6"/>
  <c r="E120" i="6"/>
  <c r="G116" i="23"/>
  <c r="D117" i="23"/>
  <c r="E117" i="23"/>
  <c r="G112" i="30"/>
  <c r="D113" i="30"/>
  <c r="E113" i="30"/>
  <c r="G115" i="24"/>
  <c r="D116" i="24"/>
  <c r="E116" i="24"/>
  <c r="F111" i="38"/>
  <c r="B111" i="38"/>
  <c r="G110" i="37"/>
  <c r="E111" i="37"/>
  <c r="D111" i="37"/>
  <c r="D121" i="9"/>
  <c r="E121" i="9"/>
  <c r="G120" i="9"/>
  <c r="D121" i="11"/>
  <c r="G120" i="11"/>
  <c r="E121" i="11"/>
  <c r="J109" i="45"/>
  <c r="J118" i="6"/>
  <c r="E115" i="27"/>
  <c r="G114" i="27"/>
  <c r="D115" i="27"/>
  <c r="G121" i="10"/>
  <c r="E122" i="10"/>
  <c r="D122" i="10"/>
  <c r="D118" i="25"/>
  <c r="G117" i="25"/>
  <c r="E118" i="25"/>
  <c r="E119" i="5"/>
  <c r="D119" i="5"/>
  <c r="G118" i="5"/>
  <c r="J118" i="8"/>
  <c r="J113" i="31"/>
  <c r="F115" i="29"/>
  <c r="B115" i="29"/>
  <c r="H114" i="29"/>
  <c r="I114" i="29"/>
  <c r="B31" i="41"/>
  <c r="F31" i="41"/>
  <c r="G31" i="41" s="1"/>
  <c r="B34" i="28"/>
  <c r="F34" i="28"/>
  <c r="H34" i="28" s="1"/>
  <c r="F40" i="4"/>
  <c r="H40" i="4" s="1"/>
  <c r="B40" i="4"/>
  <c r="F31" i="37"/>
  <c r="B31" i="37"/>
  <c r="F38" i="22"/>
  <c r="G38" i="22" s="1"/>
  <c r="B38" i="22"/>
  <c r="B30" i="45"/>
  <c r="F30" i="45"/>
  <c r="G30" i="45" s="1"/>
  <c r="F36" i="24"/>
  <c r="H36" i="24" s="1"/>
  <c r="B36" i="24"/>
  <c r="F40" i="8"/>
  <c r="H40" i="8" s="1"/>
  <c r="B40" i="8"/>
  <c r="B42" i="11"/>
  <c r="F42" i="11"/>
  <c r="H42" i="11" s="1"/>
  <c r="B33" i="30"/>
  <c r="F33" i="30"/>
  <c r="H33" i="30" s="1"/>
  <c r="B38" i="25"/>
  <c r="F38" i="25"/>
  <c r="G38" i="25" s="1"/>
  <c r="B40" i="5"/>
  <c r="F40" i="5"/>
  <c r="G40" i="5" s="1"/>
  <c r="H110" i="39"/>
  <c r="I110" i="39"/>
  <c r="F111" i="39"/>
  <c r="B111" i="39"/>
  <c r="D111" i="43"/>
  <c r="G110" i="43"/>
  <c r="E111" i="43"/>
  <c r="I33" i="31"/>
  <c r="G114" i="31"/>
  <c r="D115" i="31"/>
  <c r="E115" i="31"/>
  <c r="I39" i="4"/>
  <c r="F43" i="7"/>
  <c r="H43" i="7" s="1"/>
  <c r="B43" i="7"/>
  <c r="G110" i="45"/>
  <c r="D111" i="45"/>
  <c r="E111" i="45" s="1"/>
  <c r="F40" i="3"/>
  <c r="H40" i="3" s="1"/>
  <c r="B40" i="3"/>
  <c r="F31" i="43"/>
  <c r="H31" i="43" s="1"/>
  <c r="B31" i="43"/>
  <c r="I41" i="11"/>
  <c r="B32" i="13"/>
  <c r="F32" i="13"/>
  <c r="G32" i="13" s="1"/>
  <c r="F30" i="42"/>
  <c r="G30" i="42" s="1"/>
  <c r="B30" i="42"/>
  <c r="D36" i="29"/>
  <c r="E36" i="29"/>
  <c r="J109" i="43"/>
  <c r="F42" i="10"/>
  <c r="G42" i="10" s="1"/>
  <c r="B42" i="10"/>
  <c r="J109" i="41"/>
  <c r="D34" i="31"/>
  <c r="E34" i="31"/>
  <c r="B31" i="38"/>
  <c r="F31" i="38"/>
  <c r="G31" i="38" s="1"/>
  <c r="B32" i="39"/>
  <c r="F32" i="39"/>
  <c r="G32" i="39" s="1"/>
  <c r="D111" i="41"/>
  <c r="G110" i="41"/>
  <c r="E111" i="41"/>
  <c r="F37" i="23"/>
  <c r="G37" i="23" s="1"/>
  <c r="B37" i="23"/>
  <c r="F31" i="40"/>
  <c r="G31" i="40" s="1"/>
  <c r="B31" i="40"/>
  <c r="G30" i="46" l="1"/>
  <c r="I30" i="46" s="1"/>
  <c r="D31" i="46"/>
  <c r="E31" i="46"/>
  <c r="G111" i="46"/>
  <c r="D112" i="46"/>
  <c r="J110" i="46"/>
  <c r="J114" i="29"/>
  <c r="E112" i="13"/>
  <c r="F112" i="13" s="1"/>
  <c r="B112" i="13"/>
  <c r="H111" i="13"/>
  <c r="I111" i="13"/>
  <c r="J110" i="38"/>
  <c r="D112" i="42"/>
  <c r="G111" i="42"/>
  <c r="H40" i="5"/>
  <c r="I40" i="5" s="1"/>
  <c r="G40" i="4"/>
  <c r="I40" i="4" s="1"/>
  <c r="J110" i="42"/>
  <c r="H38" i="25"/>
  <c r="I38" i="25" s="1"/>
  <c r="G33" i="30"/>
  <c r="I33" i="30" s="1"/>
  <c r="G42" i="11"/>
  <c r="I42" i="11" s="1"/>
  <c r="I110" i="44"/>
  <c r="H110" i="44"/>
  <c r="G31" i="43"/>
  <c r="I31" i="43" s="1"/>
  <c r="B111" i="44"/>
  <c r="H31" i="38"/>
  <c r="I31" i="38" s="1"/>
  <c r="H30" i="42"/>
  <c r="I30" i="42" s="1"/>
  <c r="E111" i="44"/>
  <c r="F111" i="44" s="1"/>
  <c r="G40" i="3"/>
  <c r="I40" i="3" s="1"/>
  <c r="B42" i="9"/>
  <c r="F42" i="9"/>
  <c r="G42" i="9" s="1"/>
  <c r="F35" i="27"/>
  <c r="B35" i="27"/>
  <c r="G30" i="44"/>
  <c r="E31" i="44"/>
  <c r="D31" i="44"/>
  <c r="H30" i="45"/>
  <c r="G40" i="6"/>
  <c r="I40" i="6" s="1"/>
  <c r="E41" i="6"/>
  <c r="D41" i="6"/>
  <c r="I41" i="9"/>
  <c r="H30" i="44"/>
  <c r="B119" i="5"/>
  <c r="F119" i="5"/>
  <c r="B118" i="25"/>
  <c r="F118" i="25"/>
  <c r="F115" i="27"/>
  <c r="B115" i="27"/>
  <c r="F121" i="11"/>
  <c r="B121" i="11"/>
  <c r="F111" i="37"/>
  <c r="B111" i="37"/>
  <c r="E112" i="38"/>
  <c r="G111" i="38"/>
  <c r="D112" i="38"/>
  <c r="B117" i="23"/>
  <c r="F117" i="23"/>
  <c r="F120" i="6"/>
  <c r="B120" i="6"/>
  <c r="F114" i="28"/>
  <c r="B114" i="28"/>
  <c r="F111" i="40"/>
  <c r="B111" i="40"/>
  <c r="B122" i="7"/>
  <c r="F122" i="7"/>
  <c r="F122" i="10"/>
  <c r="B122" i="10"/>
  <c r="I114" i="27"/>
  <c r="H114" i="27"/>
  <c r="I120" i="9"/>
  <c r="H120" i="9"/>
  <c r="B113" i="30"/>
  <c r="F113" i="30"/>
  <c r="I116" i="23"/>
  <c r="H116" i="23"/>
  <c r="H117" i="22"/>
  <c r="I117" i="22"/>
  <c r="H118" i="4"/>
  <c r="I118" i="4"/>
  <c r="J118" i="4" s="1"/>
  <c r="I118" i="3"/>
  <c r="H118" i="3"/>
  <c r="H121" i="7"/>
  <c r="I121" i="7"/>
  <c r="J121" i="7" s="1"/>
  <c r="H110" i="37"/>
  <c r="I110" i="37"/>
  <c r="F116" i="24"/>
  <c r="B116" i="24"/>
  <c r="I112" i="30"/>
  <c r="H112" i="30"/>
  <c r="H113" i="28"/>
  <c r="I113" i="28"/>
  <c r="B120" i="8"/>
  <c r="F120" i="8"/>
  <c r="H110" i="40"/>
  <c r="I110" i="40"/>
  <c r="B119" i="3"/>
  <c r="F119" i="3"/>
  <c r="I118" i="5"/>
  <c r="H118" i="5"/>
  <c r="I117" i="25"/>
  <c r="H117" i="25"/>
  <c r="I121" i="10"/>
  <c r="H121" i="10"/>
  <c r="I120" i="11"/>
  <c r="H120" i="11"/>
  <c r="B121" i="9"/>
  <c r="F121" i="9"/>
  <c r="H115" i="24"/>
  <c r="I115" i="24"/>
  <c r="I119" i="6"/>
  <c r="H119" i="6"/>
  <c r="I119" i="8"/>
  <c r="H119" i="8"/>
  <c r="F118" i="22"/>
  <c r="B118" i="22"/>
  <c r="B119" i="4"/>
  <c r="F119" i="4"/>
  <c r="E116" i="29"/>
  <c r="G115" i="29"/>
  <c r="D116" i="29"/>
  <c r="I110" i="45"/>
  <c r="H110" i="45"/>
  <c r="D112" i="39"/>
  <c r="E112" i="39"/>
  <c r="G111" i="39"/>
  <c r="D32" i="37"/>
  <c r="E32" i="37"/>
  <c r="I110" i="41"/>
  <c r="H110" i="41"/>
  <c r="H32" i="39"/>
  <c r="I32" i="39" s="1"/>
  <c r="F34" i="31"/>
  <c r="H34" i="31" s="1"/>
  <c r="B34" i="31"/>
  <c r="E41" i="3"/>
  <c r="D41" i="3"/>
  <c r="J110" i="39"/>
  <c r="D41" i="5"/>
  <c r="E41" i="5"/>
  <c r="D31" i="45"/>
  <c r="E31" i="45"/>
  <c r="D41" i="4"/>
  <c r="E41" i="4"/>
  <c r="I114" i="31"/>
  <c r="H114" i="31"/>
  <c r="H42" i="10"/>
  <c r="I42" i="10" s="1"/>
  <c r="D31" i="42"/>
  <c r="E31" i="42"/>
  <c r="E44" i="7"/>
  <c r="D44" i="7"/>
  <c r="F111" i="43"/>
  <c r="B111" i="43"/>
  <c r="D37" i="24"/>
  <c r="E37" i="24"/>
  <c r="I30" i="45"/>
  <c r="I110" i="43"/>
  <c r="H110" i="43"/>
  <c r="D32" i="41"/>
  <c r="E32" i="41"/>
  <c r="H37" i="23"/>
  <c r="I37" i="23" s="1"/>
  <c r="D33" i="13"/>
  <c r="E33" i="13" s="1"/>
  <c r="D32" i="43"/>
  <c r="E32" i="43"/>
  <c r="G43" i="7"/>
  <c r="I43" i="7" s="1"/>
  <c r="G40" i="8"/>
  <c r="I40" i="8" s="1"/>
  <c r="G36" i="24"/>
  <c r="I36" i="24" s="1"/>
  <c r="H38" i="22"/>
  <c r="I38" i="22" s="1"/>
  <c r="H31" i="41"/>
  <c r="I31" i="41" s="1"/>
  <c r="F111" i="41"/>
  <c r="B111" i="41"/>
  <c r="H31" i="40"/>
  <c r="I31" i="40" s="1"/>
  <c r="D32" i="38"/>
  <c r="E32" i="38"/>
  <c r="H32" i="13"/>
  <c r="I32" i="13" s="1"/>
  <c r="D43" i="11"/>
  <c r="E43" i="11"/>
  <c r="D32" i="40"/>
  <c r="E32" i="40"/>
  <c r="E38" i="23"/>
  <c r="D38" i="23"/>
  <c r="D43" i="10"/>
  <c r="E43" i="10"/>
  <c r="D41" i="8"/>
  <c r="E41" i="8"/>
  <c r="G31" i="37"/>
  <c r="D35" i="28"/>
  <c r="E35" i="28"/>
  <c r="D33" i="39"/>
  <c r="E33" i="39"/>
  <c r="F36" i="29"/>
  <c r="H36" i="29" s="1"/>
  <c r="B36" i="29"/>
  <c r="F111" i="45"/>
  <c r="B111" i="45"/>
  <c r="B115" i="31"/>
  <c r="F115" i="31"/>
  <c r="D39" i="25"/>
  <c r="E39" i="25"/>
  <c r="D34" i="30"/>
  <c r="E34" i="30"/>
  <c r="D39" i="22"/>
  <c r="E39" i="22"/>
  <c r="H31" i="37"/>
  <c r="G34" i="28"/>
  <c r="I34" i="28" s="1"/>
  <c r="J111" i="13" l="1"/>
  <c r="B31" i="46"/>
  <c r="F31" i="46"/>
  <c r="G31" i="46"/>
  <c r="E112" i="46"/>
  <c r="F112" i="46" s="1"/>
  <c r="B112" i="46"/>
  <c r="H111" i="46"/>
  <c r="I111" i="46"/>
  <c r="J119" i="8"/>
  <c r="J120" i="11"/>
  <c r="J117" i="25"/>
  <c r="J112" i="30"/>
  <c r="J118" i="3"/>
  <c r="J114" i="27"/>
  <c r="D113" i="13"/>
  <c r="G112" i="13"/>
  <c r="J113" i="28"/>
  <c r="J110" i="44"/>
  <c r="I111" i="42"/>
  <c r="H111" i="42"/>
  <c r="E112" i="42"/>
  <c r="F112" i="42" s="1"/>
  <c r="B112" i="42"/>
  <c r="D112" i="44"/>
  <c r="G111" i="44"/>
  <c r="J110" i="43"/>
  <c r="I30" i="44"/>
  <c r="H42" i="9"/>
  <c r="I42" i="9" s="1"/>
  <c r="G34" i="31"/>
  <c r="I34" i="31" s="1"/>
  <c r="F41" i="6"/>
  <c r="B41" i="6"/>
  <c r="B31" i="44"/>
  <c r="F31" i="44"/>
  <c r="H35" i="27"/>
  <c r="E36" i="27"/>
  <c r="D36" i="27"/>
  <c r="G35" i="27"/>
  <c r="I31" i="37"/>
  <c r="J110" i="40"/>
  <c r="D43" i="9"/>
  <c r="E43" i="9"/>
  <c r="J110" i="45"/>
  <c r="G118" i="22"/>
  <c r="D119" i="22"/>
  <c r="E119" i="22"/>
  <c r="J119" i="6"/>
  <c r="J121" i="10"/>
  <c r="J118" i="5"/>
  <c r="D117" i="24"/>
  <c r="G116" i="24"/>
  <c r="E117" i="24"/>
  <c r="J116" i="23"/>
  <c r="J120" i="9"/>
  <c r="G122" i="10"/>
  <c r="E123" i="10"/>
  <c r="D123" i="10"/>
  <c r="G111" i="40"/>
  <c r="E112" i="40"/>
  <c r="D112" i="40"/>
  <c r="D121" i="6"/>
  <c r="G120" i="6"/>
  <c r="E121" i="6"/>
  <c r="H111" i="38"/>
  <c r="I111" i="38"/>
  <c r="G118" i="25"/>
  <c r="D119" i="25"/>
  <c r="E119" i="25"/>
  <c r="D120" i="4"/>
  <c r="G119" i="4"/>
  <c r="E120" i="4"/>
  <c r="J115" i="24"/>
  <c r="G119" i="3"/>
  <c r="E120" i="3"/>
  <c r="D120" i="3"/>
  <c r="G120" i="8"/>
  <c r="D121" i="8"/>
  <c r="E121" i="8"/>
  <c r="J110" i="37"/>
  <c r="J117" i="22"/>
  <c r="E114" i="30"/>
  <c r="D114" i="30"/>
  <c r="G113" i="30"/>
  <c r="E123" i="7"/>
  <c r="G122" i="7"/>
  <c r="D123" i="7"/>
  <c r="E118" i="23"/>
  <c r="G117" i="23"/>
  <c r="D118" i="23"/>
  <c r="D122" i="11"/>
  <c r="E122" i="11"/>
  <c r="G121" i="11"/>
  <c r="D115" i="28"/>
  <c r="E115" i="28"/>
  <c r="G114" i="28"/>
  <c r="D120" i="5"/>
  <c r="G119" i="5"/>
  <c r="E120" i="5"/>
  <c r="E122" i="9"/>
  <c r="G121" i="9"/>
  <c r="D122" i="9"/>
  <c r="F112" i="38"/>
  <c r="B112" i="38"/>
  <c r="E112" i="37"/>
  <c r="D112" i="37"/>
  <c r="G111" i="37"/>
  <c r="D116" i="27"/>
  <c r="G115" i="27"/>
  <c r="E116" i="27"/>
  <c r="I115" i="29"/>
  <c r="H115" i="29"/>
  <c r="F116" i="29"/>
  <c r="B116" i="29"/>
  <c r="F44" i="7"/>
  <c r="G44" i="7" s="1"/>
  <c r="B44" i="7"/>
  <c r="D112" i="45"/>
  <c r="E112" i="45" s="1"/>
  <c r="G111" i="45"/>
  <c r="J114" i="31"/>
  <c r="B33" i="39"/>
  <c r="F33" i="39"/>
  <c r="F41" i="8"/>
  <c r="B41" i="8"/>
  <c r="B43" i="10"/>
  <c r="F43" i="10"/>
  <c r="G43" i="10" s="1"/>
  <c r="G111" i="43"/>
  <c r="D112" i="43"/>
  <c r="E112" i="43"/>
  <c r="F43" i="11"/>
  <c r="H43" i="11" s="1"/>
  <c r="B43" i="11"/>
  <c r="F39" i="25"/>
  <c r="H39" i="25" s="1"/>
  <c r="B39" i="25"/>
  <c r="F32" i="40"/>
  <c r="H32" i="40" s="1"/>
  <c r="B32" i="40"/>
  <c r="B33" i="13"/>
  <c r="F33" i="13"/>
  <c r="H33" i="13" s="1"/>
  <c r="F41" i="4"/>
  <c r="G41" i="4" s="1"/>
  <c r="B41" i="4"/>
  <c r="B112" i="39"/>
  <c r="F112" i="39"/>
  <c r="F34" i="30"/>
  <c r="G34" i="30" s="1"/>
  <c r="B34" i="30"/>
  <c r="B32" i="43"/>
  <c r="F32" i="43"/>
  <c r="H32" i="43" s="1"/>
  <c r="G115" i="31"/>
  <c r="D116" i="31"/>
  <c r="E116" i="31"/>
  <c r="F32" i="38"/>
  <c r="G32" i="38" s="1"/>
  <c r="B32" i="38"/>
  <c r="F32" i="37"/>
  <c r="B32" i="37"/>
  <c r="B31" i="42"/>
  <c r="F31" i="42"/>
  <c r="H31" i="42" s="1"/>
  <c r="B38" i="23"/>
  <c r="F38" i="23"/>
  <c r="H38" i="23" s="1"/>
  <c r="F41" i="5"/>
  <c r="H41" i="5" s="1"/>
  <c r="B41" i="5"/>
  <c r="F39" i="22"/>
  <c r="G39" i="22" s="1"/>
  <c r="B39" i="22"/>
  <c r="D37" i="29"/>
  <c r="E37" i="29"/>
  <c r="F35" i="28"/>
  <c r="G35" i="28" s="1"/>
  <c r="B35" i="28"/>
  <c r="B31" i="45"/>
  <c r="F31" i="45"/>
  <c r="G31" i="45" s="1"/>
  <c r="F41" i="3"/>
  <c r="H41" i="3" s="1"/>
  <c r="B41" i="3"/>
  <c r="J110" i="41"/>
  <c r="H111" i="39"/>
  <c r="I111" i="39"/>
  <c r="D35" i="31"/>
  <c r="E35" i="31"/>
  <c r="G36" i="29"/>
  <c r="I36" i="29" s="1"/>
  <c r="D112" i="41"/>
  <c r="G111" i="41"/>
  <c r="E112" i="41"/>
  <c r="F32" i="41"/>
  <c r="G32" i="41" s="1"/>
  <c r="B32" i="41"/>
  <c r="F37" i="24"/>
  <c r="G37" i="24" s="1"/>
  <c r="B37" i="24"/>
  <c r="G41" i="5" l="1"/>
  <c r="I41" i="5" s="1"/>
  <c r="D32" i="46"/>
  <c r="E32" i="46"/>
  <c r="H31" i="46"/>
  <c r="I31" i="46" s="1"/>
  <c r="D113" i="46"/>
  <c r="G112" i="46"/>
  <c r="J111" i="46"/>
  <c r="G32" i="40"/>
  <c r="I32" i="40" s="1"/>
  <c r="G43" i="11"/>
  <c r="I43" i="11" s="1"/>
  <c r="I112" i="13"/>
  <c r="H112" i="13"/>
  <c r="E113" i="13"/>
  <c r="F113" i="13" s="1"/>
  <c r="B113" i="13"/>
  <c r="D113" i="42"/>
  <c r="G112" i="42"/>
  <c r="J111" i="42"/>
  <c r="H32" i="38"/>
  <c r="I35" i="27"/>
  <c r="H111" i="44"/>
  <c r="I111" i="44"/>
  <c r="H35" i="28"/>
  <c r="I35" i="28" s="1"/>
  <c r="E112" i="44"/>
  <c r="F112" i="44" s="1"/>
  <c r="B112" i="44"/>
  <c r="B43" i="9"/>
  <c r="F43" i="9"/>
  <c r="G43" i="9" s="1"/>
  <c r="H32" i="41"/>
  <c r="I32" i="41" s="1"/>
  <c r="G41" i="3"/>
  <c r="I41" i="3" s="1"/>
  <c r="H39" i="22"/>
  <c r="I39" i="22" s="1"/>
  <c r="H34" i="30"/>
  <c r="I34" i="30" s="1"/>
  <c r="E32" i="44"/>
  <c r="D32" i="44"/>
  <c r="I32" i="38"/>
  <c r="H41" i="4"/>
  <c r="I41" i="4" s="1"/>
  <c r="G33" i="13"/>
  <c r="I33" i="13" s="1"/>
  <c r="F36" i="27"/>
  <c r="B36" i="27"/>
  <c r="G31" i="44"/>
  <c r="H41" i="6"/>
  <c r="D42" i="6"/>
  <c r="E42" i="6"/>
  <c r="H31" i="44"/>
  <c r="G41" i="6"/>
  <c r="J111" i="38"/>
  <c r="J111" i="39"/>
  <c r="H111" i="37"/>
  <c r="I111" i="37"/>
  <c r="D113" i="38"/>
  <c r="E113" i="38"/>
  <c r="G112" i="38"/>
  <c r="B122" i="11"/>
  <c r="F122" i="11"/>
  <c r="B123" i="7"/>
  <c r="F123" i="7"/>
  <c r="B114" i="30"/>
  <c r="F114" i="30"/>
  <c r="H119" i="4"/>
  <c r="I119" i="4"/>
  <c r="H118" i="25"/>
  <c r="I118" i="25"/>
  <c r="I120" i="6"/>
  <c r="H120" i="6"/>
  <c r="H111" i="40"/>
  <c r="I111" i="40"/>
  <c r="F117" i="24"/>
  <c r="B117" i="24"/>
  <c r="B112" i="37"/>
  <c r="F112" i="37"/>
  <c r="B122" i="9"/>
  <c r="F122" i="9"/>
  <c r="H119" i="5"/>
  <c r="I119" i="5"/>
  <c r="B115" i="28"/>
  <c r="F115" i="28"/>
  <c r="F118" i="23"/>
  <c r="B118" i="23"/>
  <c r="H122" i="7"/>
  <c r="I122" i="7"/>
  <c r="F121" i="8"/>
  <c r="B121" i="8"/>
  <c r="I119" i="3"/>
  <c r="H119" i="3"/>
  <c r="F120" i="4"/>
  <c r="B120" i="4"/>
  <c r="B121" i="6"/>
  <c r="F121" i="6"/>
  <c r="F123" i="10"/>
  <c r="B123" i="10"/>
  <c r="B119" i="22"/>
  <c r="F119" i="22"/>
  <c r="H115" i="27"/>
  <c r="I115" i="27"/>
  <c r="H121" i="9"/>
  <c r="I121" i="9"/>
  <c r="B120" i="5"/>
  <c r="F120" i="5"/>
  <c r="H121" i="11"/>
  <c r="I121" i="11"/>
  <c r="H117" i="23"/>
  <c r="I117" i="23"/>
  <c r="H120" i="8"/>
  <c r="I120" i="8"/>
  <c r="F112" i="40"/>
  <c r="B112" i="40"/>
  <c r="H118" i="22"/>
  <c r="I118" i="22"/>
  <c r="F116" i="27"/>
  <c r="B116" i="27"/>
  <c r="H114" i="28"/>
  <c r="I114" i="28"/>
  <c r="H113" i="30"/>
  <c r="I113" i="30"/>
  <c r="F120" i="3"/>
  <c r="B120" i="3"/>
  <c r="B119" i="25"/>
  <c r="F119" i="25"/>
  <c r="I122" i="10"/>
  <c r="H122" i="10"/>
  <c r="I116" i="24"/>
  <c r="H116" i="24"/>
  <c r="E117" i="29"/>
  <c r="G116" i="29"/>
  <c r="D117" i="29"/>
  <c r="J115" i="29"/>
  <c r="D32" i="45"/>
  <c r="E32" i="45"/>
  <c r="D42" i="8"/>
  <c r="E42" i="8"/>
  <c r="D45" i="7"/>
  <c r="E45" i="7"/>
  <c r="D38" i="24"/>
  <c r="E38" i="24"/>
  <c r="I111" i="41"/>
  <c r="H111" i="41"/>
  <c r="F37" i="29"/>
  <c r="B37" i="29"/>
  <c r="G38" i="23"/>
  <c r="I38" i="23" s="1"/>
  <c r="E32" i="42"/>
  <c r="D32" i="42"/>
  <c r="H43" i="10"/>
  <c r="I43" i="10" s="1"/>
  <c r="E34" i="39"/>
  <c r="D34" i="39"/>
  <c r="I111" i="45"/>
  <c r="H111" i="45"/>
  <c r="B112" i="41"/>
  <c r="F112" i="41"/>
  <c r="H31" i="45"/>
  <c r="I31" i="45" s="1"/>
  <c r="D42" i="5"/>
  <c r="E42" i="5"/>
  <c r="G31" i="42"/>
  <c r="I31" i="42" s="1"/>
  <c r="D42" i="4"/>
  <c r="E42" i="4"/>
  <c r="E44" i="11"/>
  <c r="D44" i="11"/>
  <c r="H33" i="39"/>
  <c r="F112" i="45"/>
  <c r="B112" i="45"/>
  <c r="E39" i="23"/>
  <c r="D39" i="23"/>
  <c r="D33" i="37"/>
  <c r="E33" i="37"/>
  <c r="B112" i="43"/>
  <c r="F112" i="43"/>
  <c r="D44" i="10"/>
  <c r="E44" i="10"/>
  <c r="G33" i="39"/>
  <c r="F35" i="31"/>
  <c r="H35" i="31" s="1"/>
  <c r="B35" i="31"/>
  <c r="D36" i="28"/>
  <c r="E36" i="28"/>
  <c r="D40" i="22"/>
  <c r="E40" i="22"/>
  <c r="H32" i="37"/>
  <c r="D33" i="38"/>
  <c r="E33" i="38"/>
  <c r="D33" i="43"/>
  <c r="E33" i="43"/>
  <c r="E113" i="39"/>
  <c r="D113" i="39"/>
  <c r="G112" i="39"/>
  <c r="D34" i="13"/>
  <c r="E34" i="13" s="1"/>
  <c r="D33" i="40"/>
  <c r="E33" i="40"/>
  <c r="D40" i="25"/>
  <c r="E40" i="25"/>
  <c r="H41" i="8"/>
  <c r="F116" i="31"/>
  <c r="B116" i="31"/>
  <c r="I115" i="31"/>
  <c r="H115" i="31"/>
  <c r="D35" i="30"/>
  <c r="E35" i="30"/>
  <c r="I111" i="43"/>
  <c r="H111" i="43"/>
  <c r="H37" i="24"/>
  <c r="I37" i="24" s="1"/>
  <c r="E33" i="41"/>
  <c r="D33" i="41"/>
  <c r="D42" i="3"/>
  <c r="E42" i="3"/>
  <c r="G32" i="37"/>
  <c r="G32" i="43"/>
  <c r="I32" i="43" s="1"/>
  <c r="G39" i="25"/>
  <c r="I39" i="25" s="1"/>
  <c r="G41" i="8"/>
  <c r="H44" i="7"/>
  <c r="I44" i="7" s="1"/>
  <c r="J112" i="13" l="1"/>
  <c r="H43" i="9"/>
  <c r="F32" i="46"/>
  <c r="H32" i="46" s="1"/>
  <c r="B32" i="46"/>
  <c r="I112" i="46"/>
  <c r="H112" i="46"/>
  <c r="E113" i="46"/>
  <c r="F113" i="46" s="1"/>
  <c r="B113" i="46"/>
  <c r="J117" i="23"/>
  <c r="J115" i="27"/>
  <c r="J122" i="10"/>
  <c r="J119" i="3"/>
  <c r="J120" i="6"/>
  <c r="D114" i="13"/>
  <c r="G113" i="13"/>
  <c r="J111" i="45"/>
  <c r="I31" i="44"/>
  <c r="J111" i="37"/>
  <c r="J113" i="30"/>
  <c r="H112" i="42"/>
  <c r="I112" i="42"/>
  <c r="E113" i="42"/>
  <c r="F113" i="42" s="1"/>
  <c r="B113" i="42"/>
  <c r="D113" i="44"/>
  <c r="B113" i="44" s="1"/>
  <c r="G112" i="44"/>
  <c r="I32" i="37"/>
  <c r="G35" i="31"/>
  <c r="I35" i="31" s="1"/>
  <c r="J111" i="44"/>
  <c r="I41" i="6"/>
  <c r="G36" i="27"/>
  <c r="E37" i="27"/>
  <c r="D37" i="27"/>
  <c r="I41" i="8"/>
  <c r="B32" i="44"/>
  <c r="F32" i="44"/>
  <c r="I43" i="9"/>
  <c r="H36" i="27"/>
  <c r="D44" i="9"/>
  <c r="E44" i="9"/>
  <c r="B42" i="6"/>
  <c r="F42" i="6"/>
  <c r="G42" i="6" s="1"/>
  <c r="D120" i="25"/>
  <c r="G119" i="25"/>
  <c r="E120" i="25"/>
  <c r="D121" i="5"/>
  <c r="G120" i="5"/>
  <c r="E121" i="5"/>
  <c r="J119" i="5"/>
  <c r="G112" i="37"/>
  <c r="E113" i="37"/>
  <c r="D113" i="37"/>
  <c r="J111" i="40"/>
  <c r="J118" i="25"/>
  <c r="G114" i="30"/>
  <c r="D115" i="30"/>
  <c r="E115" i="30"/>
  <c r="G122" i="11"/>
  <c r="E123" i="11"/>
  <c r="D123" i="11"/>
  <c r="B113" i="38"/>
  <c r="F113" i="38"/>
  <c r="J116" i="24"/>
  <c r="G116" i="27"/>
  <c r="E117" i="27"/>
  <c r="D117" i="27"/>
  <c r="E113" i="40"/>
  <c r="G112" i="40"/>
  <c r="D113" i="40"/>
  <c r="D124" i="10"/>
  <c r="E124" i="10"/>
  <c r="G123" i="10"/>
  <c r="D121" i="4"/>
  <c r="G120" i="4"/>
  <c r="E121" i="4"/>
  <c r="E122" i="8"/>
  <c r="D122" i="8"/>
  <c r="G121" i="8"/>
  <c r="D119" i="23"/>
  <c r="E119" i="23"/>
  <c r="G118" i="23"/>
  <c r="J114" i="28"/>
  <c r="J118" i="22"/>
  <c r="J120" i="8"/>
  <c r="J121" i="11"/>
  <c r="J121" i="9"/>
  <c r="D120" i="22"/>
  <c r="G119" i="22"/>
  <c r="E120" i="22"/>
  <c r="G121" i="6"/>
  <c r="D122" i="6"/>
  <c r="E122" i="6"/>
  <c r="J122" i="7"/>
  <c r="G115" i="28"/>
  <c r="D116" i="28"/>
  <c r="E116" i="28"/>
  <c r="E123" i="9"/>
  <c r="G122" i="9"/>
  <c r="D123" i="9"/>
  <c r="J119" i="4"/>
  <c r="G123" i="7"/>
  <c r="E124" i="7"/>
  <c r="D124" i="7"/>
  <c r="I112" i="38"/>
  <c r="H112" i="38"/>
  <c r="E121" i="3"/>
  <c r="G120" i="3"/>
  <c r="D121" i="3"/>
  <c r="E118" i="24"/>
  <c r="D118" i="24"/>
  <c r="G117" i="24"/>
  <c r="F117" i="29"/>
  <c r="B117" i="29"/>
  <c r="H116" i="29"/>
  <c r="I116" i="29"/>
  <c r="F34" i="13"/>
  <c r="G34" i="13" s="1"/>
  <c r="B34" i="13"/>
  <c r="D38" i="29"/>
  <c r="E38" i="29"/>
  <c r="D113" i="43"/>
  <c r="G112" i="43"/>
  <c r="E113" i="43"/>
  <c r="G112" i="45"/>
  <c r="D113" i="45"/>
  <c r="F42" i="4"/>
  <c r="H42" i="4" s="1"/>
  <c r="B42" i="4"/>
  <c r="F44" i="10"/>
  <c r="G44" i="10" s="1"/>
  <c r="B44" i="10"/>
  <c r="H112" i="39"/>
  <c r="I112" i="39"/>
  <c r="I33" i="39"/>
  <c r="B34" i="39"/>
  <c r="F34" i="39"/>
  <c r="G34" i="39" s="1"/>
  <c r="J111" i="41"/>
  <c r="B32" i="45"/>
  <c r="F32" i="45"/>
  <c r="G32" i="45" s="1"/>
  <c r="F33" i="38"/>
  <c r="G33" i="38" s="1"/>
  <c r="B33" i="38"/>
  <c r="B35" i="30"/>
  <c r="F35" i="30"/>
  <c r="F113" i="39"/>
  <c r="B113" i="39"/>
  <c r="D36" i="31"/>
  <c r="E36" i="31"/>
  <c r="F33" i="37"/>
  <c r="H33" i="37" s="1"/>
  <c r="B33" i="37"/>
  <c r="B44" i="11"/>
  <c r="F44" i="11"/>
  <c r="H44" i="11" s="1"/>
  <c r="B36" i="28"/>
  <c r="F36" i="28"/>
  <c r="H36" i="28" s="1"/>
  <c r="G36" i="28"/>
  <c r="F33" i="41"/>
  <c r="G33" i="41" s="1"/>
  <c r="B33" i="41"/>
  <c r="F40" i="25"/>
  <c r="B40" i="25"/>
  <c r="F39" i="23"/>
  <c r="G39" i="23" s="1"/>
  <c r="B39" i="23"/>
  <c r="B42" i="5"/>
  <c r="F42" i="5"/>
  <c r="G42" i="5" s="1"/>
  <c r="F38" i="24"/>
  <c r="B38" i="24"/>
  <c r="F32" i="42"/>
  <c r="G32" i="42" s="1"/>
  <c r="B32" i="42"/>
  <c r="J115" i="31"/>
  <c r="F40" i="22"/>
  <c r="G40" i="22" s="1"/>
  <c r="B40" i="22"/>
  <c r="H37" i="29"/>
  <c r="D113" i="41"/>
  <c r="G112" i="41"/>
  <c r="E113" i="41"/>
  <c r="J111" i="43"/>
  <c r="G116" i="31"/>
  <c r="D117" i="31"/>
  <c r="E117" i="31"/>
  <c r="B42" i="8"/>
  <c r="F42" i="8"/>
  <c r="H42" i="8" s="1"/>
  <c r="B42" i="3"/>
  <c r="F42" i="3"/>
  <c r="H42" i="3" s="1"/>
  <c r="G42" i="3"/>
  <c r="B33" i="40"/>
  <c r="F33" i="40"/>
  <c r="G33" i="40" s="1"/>
  <c r="B33" i="43"/>
  <c r="F33" i="43"/>
  <c r="H33" i="43" s="1"/>
  <c r="G37" i="29"/>
  <c r="B45" i="7"/>
  <c r="F45" i="7"/>
  <c r="G45" i="7" s="1"/>
  <c r="J112" i="42" l="1"/>
  <c r="E33" i="46"/>
  <c r="D33" i="46"/>
  <c r="G42" i="4"/>
  <c r="I42" i="4" s="1"/>
  <c r="G32" i="46"/>
  <c r="I32" i="46" s="1"/>
  <c r="D114" i="46"/>
  <c r="G113" i="46"/>
  <c r="J112" i="46"/>
  <c r="H113" i="13"/>
  <c r="I113" i="13"/>
  <c r="E114" i="13"/>
  <c r="F114" i="13" s="1"/>
  <c r="B114" i="13"/>
  <c r="H44" i="10"/>
  <c r="I44" i="10" s="1"/>
  <c r="H45" i="7"/>
  <c r="I45" i="7" s="1"/>
  <c r="G113" i="42"/>
  <c r="D114" i="42"/>
  <c r="G44" i="11"/>
  <c r="I44" i="11" s="1"/>
  <c r="G33" i="37"/>
  <c r="I33" i="37" s="1"/>
  <c r="I36" i="27"/>
  <c r="H33" i="40"/>
  <c r="I33" i="40" s="1"/>
  <c r="H112" i="44"/>
  <c r="I112" i="44"/>
  <c r="H33" i="41"/>
  <c r="I33" i="41" s="1"/>
  <c r="E113" i="44"/>
  <c r="F113" i="44" s="1"/>
  <c r="D43" i="6"/>
  <c r="E43" i="6"/>
  <c r="G32" i="44"/>
  <c r="D33" i="44"/>
  <c r="E33" i="44"/>
  <c r="B37" i="27"/>
  <c r="F37" i="27"/>
  <c r="H37" i="27" s="1"/>
  <c r="B44" i="9"/>
  <c r="F44" i="9"/>
  <c r="G44" i="9" s="1"/>
  <c r="I42" i="3"/>
  <c r="I36" i="28"/>
  <c r="H34" i="39"/>
  <c r="I34" i="39" s="1"/>
  <c r="H42" i="6"/>
  <c r="I42" i="6" s="1"/>
  <c r="H32" i="44"/>
  <c r="F118" i="24"/>
  <c r="B118" i="24"/>
  <c r="H122" i="9"/>
  <c r="I122" i="9"/>
  <c r="H115" i="28"/>
  <c r="I115" i="28"/>
  <c r="J115" i="28" s="1"/>
  <c r="I121" i="6"/>
  <c r="H121" i="6"/>
  <c r="I121" i="8"/>
  <c r="H121" i="8"/>
  <c r="I120" i="4"/>
  <c r="H120" i="4"/>
  <c r="B124" i="10"/>
  <c r="F124" i="10"/>
  <c r="B117" i="27"/>
  <c r="F117" i="27"/>
  <c r="E114" i="38"/>
  <c r="G113" i="38"/>
  <c r="D114" i="38"/>
  <c r="H122" i="11"/>
  <c r="I122" i="11"/>
  <c r="J122" i="11" s="1"/>
  <c r="H112" i="37"/>
  <c r="I112" i="37"/>
  <c r="F121" i="5"/>
  <c r="B121" i="5"/>
  <c r="I123" i="7"/>
  <c r="H123" i="7"/>
  <c r="H118" i="23"/>
  <c r="I118" i="23"/>
  <c r="J118" i="23" s="1"/>
  <c r="F122" i="8"/>
  <c r="B122" i="8"/>
  <c r="B121" i="4"/>
  <c r="F121" i="4"/>
  <c r="F113" i="40"/>
  <c r="B113" i="40"/>
  <c r="B121" i="3"/>
  <c r="F121" i="3"/>
  <c r="J112" i="38"/>
  <c r="H119" i="22"/>
  <c r="I119" i="22"/>
  <c r="H123" i="10"/>
  <c r="I123" i="10"/>
  <c r="I112" i="40"/>
  <c r="H112" i="40"/>
  <c r="I116" i="27"/>
  <c r="H116" i="27"/>
  <c r="B123" i="11"/>
  <c r="F123" i="11"/>
  <c r="F115" i="30"/>
  <c r="B115" i="30"/>
  <c r="F113" i="37"/>
  <c r="B113" i="37"/>
  <c r="H119" i="25"/>
  <c r="I119" i="25"/>
  <c r="J119" i="25" s="1"/>
  <c r="H117" i="24"/>
  <c r="I117" i="24"/>
  <c r="H120" i="3"/>
  <c r="I120" i="3"/>
  <c r="J120" i="3" s="1"/>
  <c r="B124" i="7"/>
  <c r="F124" i="7"/>
  <c r="B123" i="9"/>
  <c r="F123" i="9"/>
  <c r="F116" i="28"/>
  <c r="B116" i="28"/>
  <c r="F122" i="6"/>
  <c r="B122" i="6"/>
  <c r="F120" i="22"/>
  <c r="B120" i="22"/>
  <c r="B119" i="23"/>
  <c r="F119" i="23"/>
  <c r="I114" i="30"/>
  <c r="H114" i="30"/>
  <c r="H120" i="5"/>
  <c r="I120" i="5"/>
  <c r="F120" i="25"/>
  <c r="B120" i="25"/>
  <c r="E118" i="29"/>
  <c r="G117" i="29"/>
  <c r="D118" i="29"/>
  <c r="J112" i="39"/>
  <c r="J116" i="29"/>
  <c r="D39" i="24"/>
  <c r="E39" i="24"/>
  <c r="D34" i="43"/>
  <c r="E34" i="43"/>
  <c r="H112" i="45"/>
  <c r="I112" i="45"/>
  <c r="F38" i="29"/>
  <c r="G38" i="29" s="1"/>
  <c r="B38" i="29"/>
  <c r="D41" i="22"/>
  <c r="E41" i="22"/>
  <c r="D43" i="5"/>
  <c r="E43" i="5"/>
  <c r="D40" i="23"/>
  <c r="E40" i="23"/>
  <c r="D34" i="38"/>
  <c r="E34" i="38"/>
  <c r="D43" i="3"/>
  <c r="E43" i="3"/>
  <c r="D36" i="30"/>
  <c r="E36" i="30"/>
  <c r="H42" i="5"/>
  <c r="I42" i="5" s="1"/>
  <c r="H35" i="30"/>
  <c r="D45" i="10"/>
  <c r="E45" i="10"/>
  <c r="I112" i="43"/>
  <c r="H112" i="43"/>
  <c r="B113" i="45"/>
  <c r="D43" i="8"/>
  <c r="E43" i="8"/>
  <c r="F36" i="31"/>
  <c r="B36" i="31"/>
  <c r="E34" i="40"/>
  <c r="D34" i="40"/>
  <c r="G42" i="8"/>
  <c r="I42" i="8" s="1"/>
  <c r="I112" i="41"/>
  <c r="H112" i="41"/>
  <c r="G35" i="30"/>
  <c r="D33" i="45"/>
  <c r="E33" i="45"/>
  <c r="D35" i="39"/>
  <c r="E35" i="39"/>
  <c r="D43" i="4"/>
  <c r="E43" i="4"/>
  <c r="B113" i="43"/>
  <c r="F113" i="43"/>
  <c r="I116" i="31"/>
  <c r="H116" i="31"/>
  <c r="D35" i="13"/>
  <c r="E35" i="13" s="1"/>
  <c r="D41" i="25"/>
  <c r="E41" i="25"/>
  <c r="D114" i="39"/>
  <c r="G113" i="39"/>
  <c r="E114" i="39"/>
  <c r="F113" i="41"/>
  <c r="B113" i="41"/>
  <c r="D33" i="42"/>
  <c r="E33" i="42"/>
  <c r="G38" i="24"/>
  <c r="H40" i="25"/>
  <c r="H34" i="13"/>
  <c r="I34" i="13" s="1"/>
  <c r="D46" i="7"/>
  <c r="E46" i="7"/>
  <c r="G33" i="43"/>
  <c r="I33" i="43" s="1"/>
  <c r="F117" i="31"/>
  <c r="B117" i="31"/>
  <c r="I37" i="29"/>
  <c r="H40" i="22"/>
  <c r="I40" i="22" s="1"/>
  <c r="H32" i="42"/>
  <c r="I32" i="42" s="1"/>
  <c r="H38" i="24"/>
  <c r="H39" i="23"/>
  <c r="I39" i="23" s="1"/>
  <c r="G40" i="25"/>
  <c r="D34" i="41"/>
  <c r="E34" i="41"/>
  <c r="D37" i="28"/>
  <c r="E37" i="28"/>
  <c r="D45" i="11"/>
  <c r="E45" i="11"/>
  <c r="D34" i="37"/>
  <c r="E34" i="37"/>
  <c r="H33" i="38"/>
  <c r="I33" i="38" s="1"/>
  <c r="H32" i="45"/>
  <c r="I32" i="45" s="1"/>
  <c r="E113" i="45"/>
  <c r="F113" i="45" s="1"/>
  <c r="B33" i="46" l="1"/>
  <c r="F33" i="46"/>
  <c r="G33" i="46"/>
  <c r="H113" i="46"/>
  <c r="I113" i="46"/>
  <c r="E114" i="46"/>
  <c r="F114" i="46" s="1"/>
  <c r="B114" i="46"/>
  <c r="J123" i="10"/>
  <c r="J113" i="13"/>
  <c r="G114" i="13"/>
  <c r="D115" i="13"/>
  <c r="I32" i="44"/>
  <c r="J114" i="30"/>
  <c r="J116" i="27"/>
  <c r="J121" i="6"/>
  <c r="J120" i="5"/>
  <c r="J120" i="4"/>
  <c r="E114" i="42"/>
  <c r="F114" i="42" s="1"/>
  <c r="B114" i="42"/>
  <c r="J112" i="40"/>
  <c r="J112" i="37"/>
  <c r="H113" i="42"/>
  <c r="I113" i="42"/>
  <c r="J113" i="42" s="1"/>
  <c r="G37" i="27"/>
  <c r="I37" i="27" s="1"/>
  <c r="G113" i="44"/>
  <c r="D114" i="44"/>
  <c r="J112" i="44"/>
  <c r="I40" i="25"/>
  <c r="H38" i="29"/>
  <c r="I38" i="29" s="1"/>
  <c r="B43" i="6"/>
  <c r="F43" i="6"/>
  <c r="H44" i="9"/>
  <c r="I44" i="9" s="1"/>
  <c r="D45" i="9"/>
  <c r="E45" i="9"/>
  <c r="E38" i="27"/>
  <c r="D38" i="27"/>
  <c r="F33" i="44"/>
  <c r="H33" i="44" s="1"/>
  <c r="B33" i="44"/>
  <c r="D121" i="25"/>
  <c r="G120" i="25"/>
  <c r="E121" i="25"/>
  <c r="G120" i="22"/>
  <c r="E121" i="22"/>
  <c r="D121" i="22"/>
  <c r="E117" i="28"/>
  <c r="D117" i="28"/>
  <c r="G116" i="28"/>
  <c r="E114" i="37"/>
  <c r="G113" i="37"/>
  <c r="D114" i="37"/>
  <c r="F114" i="38"/>
  <c r="B114" i="38"/>
  <c r="D120" i="23"/>
  <c r="E120" i="23"/>
  <c r="G119" i="23"/>
  <c r="E124" i="9"/>
  <c r="G123" i="9"/>
  <c r="D124" i="9"/>
  <c r="G113" i="40"/>
  <c r="D114" i="40"/>
  <c r="E114" i="40"/>
  <c r="D123" i="8"/>
  <c r="G122" i="8"/>
  <c r="E123" i="8"/>
  <c r="J123" i="7"/>
  <c r="H113" i="38"/>
  <c r="I113" i="38"/>
  <c r="E125" i="10"/>
  <c r="D125" i="10"/>
  <c r="G124" i="10"/>
  <c r="E123" i="6"/>
  <c r="G122" i="6"/>
  <c r="D123" i="6"/>
  <c r="E116" i="30"/>
  <c r="D116" i="30"/>
  <c r="G115" i="30"/>
  <c r="E122" i="3"/>
  <c r="G121" i="3"/>
  <c r="D122" i="3"/>
  <c r="D122" i="4"/>
  <c r="G121" i="4"/>
  <c r="E122" i="4"/>
  <c r="J121" i="8"/>
  <c r="E119" i="24"/>
  <c r="D119" i="24"/>
  <c r="G118" i="24"/>
  <c r="G124" i="7"/>
  <c r="D125" i="7"/>
  <c r="E125" i="7"/>
  <c r="J117" i="24"/>
  <c r="D124" i="11"/>
  <c r="E124" i="11"/>
  <c r="G123" i="11"/>
  <c r="J119" i="22"/>
  <c r="G121" i="5"/>
  <c r="E122" i="5"/>
  <c r="D122" i="5"/>
  <c r="D118" i="27"/>
  <c r="E118" i="27"/>
  <c r="G117" i="27"/>
  <c r="J122" i="9"/>
  <c r="B118" i="29"/>
  <c r="F118" i="29"/>
  <c r="H117" i="29"/>
  <c r="I117" i="29"/>
  <c r="G113" i="45"/>
  <c r="D114" i="45"/>
  <c r="E114" i="45" s="1"/>
  <c r="F34" i="37"/>
  <c r="B34" i="37"/>
  <c r="D37" i="31"/>
  <c r="E37" i="31"/>
  <c r="B43" i="3"/>
  <c r="F43" i="3"/>
  <c r="G43" i="3" s="1"/>
  <c r="I38" i="24"/>
  <c r="E118" i="31"/>
  <c r="D118" i="31"/>
  <c r="G117" i="31"/>
  <c r="F35" i="13"/>
  <c r="H35" i="13" s="1"/>
  <c r="B35" i="13"/>
  <c r="F43" i="4"/>
  <c r="G43" i="4" s="1"/>
  <c r="B43" i="4"/>
  <c r="F33" i="45"/>
  <c r="G33" i="45" s="1"/>
  <c r="B33" i="45"/>
  <c r="G36" i="31"/>
  <c r="B40" i="23"/>
  <c r="F40" i="23"/>
  <c r="H40" i="23" s="1"/>
  <c r="F45" i="11"/>
  <c r="G45" i="11" s="1"/>
  <c r="B45" i="11"/>
  <c r="H36" i="31"/>
  <c r="H113" i="39"/>
  <c r="I113" i="39"/>
  <c r="J116" i="31"/>
  <c r="B34" i="40"/>
  <c r="F34" i="40"/>
  <c r="G34" i="40" s="1"/>
  <c r="J112" i="43"/>
  <c r="F43" i="5"/>
  <c r="H43" i="5" s="1"/>
  <c r="B43" i="5"/>
  <c r="B37" i="28"/>
  <c r="F37" i="28"/>
  <c r="G37" i="28" s="1"/>
  <c r="F114" i="39"/>
  <c r="B114" i="39"/>
  <c r="F39" i="24"/>
  <c r="G39" i="24" s="1"/>
  <c r="B39" i="24"/>
  <c r="F33" i="42"/>
  <c r="B33" i="42"/>
  <c r="F45" i="10"/>
  <c r="H45" i="10" s="1"/>
  <c r="B45" i="10"/>
  <c r="B41" i="22"/>
  <c r="F41" i="22"/>
  <c r="G41" i="22" s="1"/>
  <c r="B46" i="7"/>
  <c r="F46" i="7"/>
  <c r="G46" i="7" s="1"/>
  <c r="F41" i="25"/>
  <c r="G41" i="25" s="1"/>
  <c r="B41" i="25"/>
  <c r="G113" i="43"/>
  <c r="D114" i="43"/>
  <c r="E114" i="43"/>
  <c r="F36" i="30"/>
  <c r="G36" i="30" s="1"/>
  <c r="B36" i="30"/>
  <c r="D39" i="29"/>
  <c r="E39" i="29"/>
  <c r="B34" i="43"/>
  <c r="F34" i="43"/>
  <c r="G34" i="43" s="1"/>
  <c r="F34" i="41"/>
  <c r="H34" i="41" s="1"/>
  <c r="B34" i="41"/>
  <c r="D114" i="41"/>
  <c r="G113" i="41"/>
  <c r="E114" i="41"/>
  <c r="F35" i="39"/>
  <c r="H35" i="39" s="1"/>
  <c r="B35" i="39"/>
  <c r="J112" i="41"/>
  <c r="F43" i="8"/>
  <c r="G43" i="8" s="1"/>
  <c r="B43" i="8"/>
  <c r="I35" i="30"/>
  <c r="B34" i="38"/>
  <c r="F34" i="38"/>
  <c r="H34" i="38" s="1"/>
  <c r="J112" i="45"/>
  <c r="I36" i="31" l="1"/>
  <c r="J113" i="46"/>
  <c r="H33" i="46"/>
  <c r="I33" i="46" s="1"/>
  <c r="E34" i="46"/>
  <c r="D34" i="46"/>
  <c r="G114" i="46"/>
  <c r="D115" i="46"/>
  <c r="E115" i="13"/>
  <c r="F115" i="13" s="1"/>
  <c r="B115" i="13"/>
  <c r="H114" i="13"/>
  <c r="I114" i="13"/>
  <c r="H34" i="40"/>
  <c r="I34" i="40" s="1"/>
  <c r="H43" i="4"/>
  <c r="I43" i="4" s="1"/>
  <c r="G114" i="42"/>
  <c r="D115" i="42"/>
  <c r="G45" i="10"/>
  <c r="I45" i="10" s="1"/>
  <c r="H39" i="24"/>
  <c r="H45" i="11"/>
  <c r="I45" i="11" s="1"/>
  <c r="G33" i="44"/>
  <c r="I33" i="44" s="1"/>
  <c r="H113" i="44"/>
  <c r="I113" i="44"/>
  <c r="E114" i="44"/>
  <c r="F114" i="44" s="1"/>
  <c r="B114" i="44"/>
  <c r="H46" i="7"/>
  <c r="I46" i="7" s="1"/>
  <c r="H41" i="25"/>
  <c r="I41" i="25" s="1"/>
  <c r="D44" i="6"/>
  <c r="E44" i="6"/>
  <c r="G34" i="41"/>
  <c r="I34" i="41" s="1"/>
  <c r="H34" i="43"/>
  <c r="I34" i="43" s="1"/>
  <c r="H37" i="28"/>
  <c r="B38" i="27"/>
  <c r="F38" i="27"/>
  <c r="H38" i="27" s="1"/>
  <c r="H43" i="6"/>
  <c r="H33" i="45"/>
  <c r="I33" i="45" s="1"/>
  <c r="G43" i="6"/>
  <c r="D34" i="44"/>
  <c r="E34" i="44"/>
  <c r="F45" i="9"/>
  <c r="G45" i="9" s="1"/>
  <c r="B45" i="9"/>
  <c r="F118" i="27"/>
  <c r="B118" i="27"/>
  <c r="H118" i="24"/>
  <c r="I118" i="24"/>
  <c r="I121" i="3"/>
  <c r="H121" i="3"/>
  <c r="I124" i="10"/>
  <c r="H124" i="10"/>
  <c r="F123" i="8"/>
  <c r="B123" i="8"/>
  <c r="F124" i="9"/>
  <c r="B124" i="9"/>
  <c r="B114" i="37"/>
  <c r="F114" i="37"/>
  <c r="B117" i="28"/>
  <c r="F117" i="28"/>
  <c r="H120" i="22"/>
  <c r="I120" i="22"/>
  <c r="J117" i="29"/>
  <c r="F122" i="5"/>
  <c r="B122" i="5"/>
  <c r="H123" i="11"/>
  <c r="I123" i="11"/>
  <c r="B119" i="24"/>
  <c r="F119" i="24"/>
  <c r="I121" i="4"/>
  <c r="H121" i="4"/>
  <c r="F123" i="6"/>
  <c r="B123" i="6"/>
  <c r="F125" i="10"/>
  <c r="B125" i="10"/>
  <c r="H123" i="9"/>
  <c r="I123" i="9"/>
  <c r="B120" i="23"/>
  <c r="F120" i="23"/>
  <c r="H113" i="37"/>
  <c r="I113" i="37"/>
  <c r="J113" i="39"/>
  <c r="I117" i="27"/>
  <c r="H117" i="27"/>
  <c r="B125" i="7"/>
  <c r="F125" i="7"/>
  <c r="F122" i="4"/>
  <c r="B122" i="4"/>
  <c r="H115" i="30"/>
  <c r="I115" i="30"/>
  <c r="H122" i="6"/>
  <c r="I122" i="6"/>
  <c r="B114" i="40"/>
  <c r="F114" i="40"/>
  <c r="F121" i="22"/>
  <c r="B121" i="22"/>
  <c r="I120" i="25"/>
  <c r="H120" i="25"/>
  <c r="H121" i="5"/>
  <c r="I121" i="5"/>
  <c r="B124" i="11"/>
  <c r="F124" i="11"/>
  <c r="H124" i="7"/>
  <c r="I124" i="7"/>
  <c r="B122" i="3"/>
  <c r="F122" i="3"/>
  <c r="B116" i="30"/>
  <c r="F116" i="30"/>
  <c r="J113" i="38"/>
  <c r="H122" i="8"/>
  <c r="I122" i="8"/>
  <c r="J122" i="8" s="1"/>
  <c r="I113" i="40"/>
  <c r="H113" i="40"/>
  <c r="I119" i="23"/>
  <c r="H119" i="23"/>
  <c r="G114" i="38"/>
  <c r="E115" i="38"/>
  <c r="D115" i="38"/>
  <c r="I116" i="28"/>
  <c r="H116" i="28"/>
  <c r="F121" i="25"/>
  <c r="B121" i="25"/>
  <c r="E119" i="29"/>
  <c r="G118" i="29"/>
  <c r="D119" i="29"/>
  <c r="D115" i="39"/>
  <c r="E115" i="39"/>
  <c r="G114" i="39"/>
  <c r="F37" i="31"/>
  <c r="G37" i="31" s="1"/>
  <c r="B37" i="31"/>
  <c r="I113" i="41"/>
  <c r="H113" i="41"/>
  <c r="D35" i="37"/>
  <c r="E35" i="37"/>
  <c r="D42" i="22"/>
  <c r="E42" i="22"/>
  <c r="H117" i="31"/>
  <c r="I117" i="31"/>
  <c r="D35" i="40"/>
  <c r="E35" i="40"/>
  <c r="D46" i="11"/>
  <c r="E46" i="11"/>
  <c r="B118" i="31"/>
  <c r="F118" i="31"/>
  <c r="H34" i="37"/>
  <c r="D34" i="42"/>
  <c r="E34" i="42"/>
  <c r="D44" i="5"/>
  <c r="E44" i="5"/>
  <c r="D44" i="3"/>
  <c r="E44" i="3"/>
  <c r="F39" i="29"/>
  <c r="H39" i="29" s="1"/>
  <c r="B39" i="29"/>
  <c r="G43" i="5"/>
  <c r="I43" i="5" s="1"/>
  <c r="D36" i="39"/>
  <c r="E36" i="39"/>
  <c r="H41" i="22"/>
  <c r="I41" i="22" s="1"/>
  <c r="D40" i="24"/>
  <c r="E40" i="24"/>
  <c r="D37" i="30"/>
  <c r="E37" i="30"/>
  <c r="D41" i="23"/>
  <c r="E41" i="23"/>
  <c r="D47" i="7"/>
  <c r="E47" i="7"/>
  <c r="D38" i="28"/>
  <c r="E38" i="28"/>
  <c r="D44" i="4"/>
  <c r="E44" i="4"/>
  <c r="B114" i="41"/>
  <c r="F114" i="41"/>
  <c r="D46" i="10"/>
  <c r="E46" i="10"/>
  <c r="I39" i="24"/>
  <c r="G34" i="37"/>
  <c r="G35" i="39"/>
  <c r="I35" i="39" s="1"/>
  <c r="B114" i="43"/>
  <c r="F114" i="43"/>
  <c r="G33" i="42"/>
  <c r="D36" i="13"/>
  <c r="F114" i="45"/>
  <c r="B114" i="45"/>
  <c r="I37" i="28"/>
  <c r="D35" i="43"/>
  <c r="E35" i="43"/>
  <c r="D35" i="38"/>
  <c r="E35" i="38"/>
  <c r="D44" i="8"/>
  <c r="E44" i="8"/>
  <c r="G34" i="38"/>
  <c r="I34" i="38" s="1"/>
  <c r="H43" i="8"/>
  <c r="I43" i="8" s="1"/>
  <c r="D35" i="41"/>
  <c r="E35" i="41"/>
  <c r="H36" i="30"/>
  <c r="I36" i="30" s="1"/>
  <c r="I113" i="43"/>
  <c r="H113" i="43"/>
  <c r="D42" i="25"/>
  <c r="E42" i="25"/>
  <c r="H33" i="42"/>
  <c r="G40" i="23"/>
  <c r="I40" i="23" s="1"/>
  <c r="D34" i="45"/>
  <c r="E34" i="45"/>
  <c r="G35" i="13"/>
  <c r="I35" i="13" s="1"/>
  <c r="H43" i="3"/>
  <c r="I43" i="3" s="1"/>
  <c r="H113" i="45"/>
  <c r="I113" i="45"/>
  <c r="F34" i="46" l="1"/>
  <c r="B34" i="46"/>
  <c r="H34" i="46"/>
  <c r="E115" i="46"/>
  <c r="F115" i="46" s="1"/>
  <c r="B115" i="46"/>
  <c r="H114" i="46"/>
  <c r="I114" i="46"/>
  <c r="H37" i="31"/>
  <c r="I37" i="31" s="1"/>
  <c r="J123" i="11"/>
  <c r="J113" i="44"/>
  <c r="D116" i="13"/>
  <c r="G115" i="13"/>
  <c r="J114" i="13"/>
  <c r="J116" i="28"/>
  <c r="J117" i="27"/>
  <c r="J120" i="25"/>
  <c r="J124" i="10"/>
  <c r="J123" i="9"/>
  <c r="J121" i="3"/>
  <c r="I43" i="6"/>
  <c r="E115" i="42"/>
  <c r="F115" i="42" s="1"/>
  <c r="B115" i="42"/>
  <c r="H114" i="42"/>
  <c r="I114" i="42"/>
  <c r="G39" i="29"/>
  <c r="D115" i="44"/>
  <c r="G114" i="44"/>
  <c r="B34" i="44"/>
  <c r="F34" i="44"/>
  <c r="H34" i="44" s="1"/>
  <c r="E46" i="9"/>
  <c r="D46" i="9"/>
  <c r="D39" i="27"/>
  <c r="E39" i="27"/>
  <c r="F44" i="6"/>
  <c r="G44" i="6" s="1"/>
  <c r="B44" i="6"/>
  <c r="J113" i="37"/>
  <c r="H45" i="9"/>
  <c r="I45" i="9" s="1"/>
  <c r="G38" i="27"/>
  <c r="I38" i="27" s="1"/>
  <c r="I114" i="38"/>
  <c r="H114" i="38"/>
  <c r="J113" i="40"/>
  <c r="D117" i="30"/>
  <c r="G116" i="30"/>
  <c r="E117" i="30"/>
  <c r="J124" i="7"/>
  <c r="J121" i="5"/>
  <c r="J122" i="6"/>
  <c r="E124" i="6"/>
  <c r="G123" i="6"/>
  <c r="D124" i="6"/>
  <c r="E123" i="5"/>
  <c r="D123" i="5"/>
  <c r="G122" i="5"/>
  <c r="G117" i="28"/>
  <c r="D118" i="28"/>
  <c r="E118" i="28"/>
  <c r="J118" i="24"/>
  <c r="J113" i="43"/>
  <c r="E122" i="22"/>
  <c r="G121" i="22"/>
  <c r="D122" i="22"/>
  <c r="D123" i="4"/>
  <c r="G122" i="4"/>
  <c r="E123" i="4"/>
  <c r="D121" i="23"/>
  <c r="G120" i="23"/>
  <c r="E121" i="23"/>
  <c r="G124" i="9"/>
  <c r="E125" i="9"/>
  <c r="D125" i="9"/>
  <c r="B115" i="38"/>
  <c r="F115" i="38"/>
  <c r="J119" i="23"/>
  <c r="G122" i="3"/>
  <c r="E123" i="3"/>
  <c r="D123" i="3"/>
  <c r="D125" i="11"/>
  <c r="G124" i="11"/>
  <c r="E125" i="11"/>
  <c r="E115" i="40"/>
  <c r="G114" i="40"/>
  <c r="D115" i="40"/>
  <c r="J115" i="30"/>
  <c r="G125" i="7"/>
  <c r="D126" i="7"/>
  <c r="E126" i="7"/>
  <c r="E126" i="10"/>
  <c r="G125" i="10"/>
  <c r="D126" i="10"/>
  <c r="J121" i="4"/>
  <c r="J120" i="22"/>
  <c r="E115" i="37"/>
  <c r="D115" i="37"/>
  <c r="G114" i="37"/>
  <c r="D122" i="25"/>
  <c r="G121" i="25"/>
  <c r="E122" i="25"/>
  <c r="E120" i="24"/>
  <c r="D120" i="24"/>
  <c r="G119" i="24"/>
  <c r="D124" i="8"/>
  <c r="G123" i="8"/>
  <c r="E124" i="8"/>
  <c r="D119" i="27"/>
  <c r="G118" i="27"/>
  <c r="E119" i="27"/>
  <c r="B119" i="29"/>
  <c r="F119" i="29"/>
  <c r="H118" i="29"/>
  <c r="I118" i="29"/>
  <c r="J113" i="45"/>
  <c r="B46" i="10"/>
  <c r="F46" i="10"/>
  <c r="H46" i="10" s="1"/>
  <c r="B47" i="7"/>
  <c r="F47" i="7"/>
  <c r="H47" i="7" s="1"/>
  <c r="F41" i="23"/>
  <c r="G41" i="23" s="1"/>
  <c r="B41" i="23"/>
  <c r="F36" i="39"/>
  <c r="B36" i="39"/>
  <c r="E40" i="29"/>
  <c r="D40" i="29"/>
  <c r="F34" i="42"/>
  <c r="G34" i="42" s="1"/>
  <c r="B34" i="42"/>
  <c r="J113" i="41"/>
  <c r="I33" i="42"/>
  <c r="F35" i="43"/>
  <c r="H35" i="43" s="1"/>
  <c r="B35" i="43"/>
  <c r="D115" i="41"/>
  <c r="G114" i="41"/>
  <c r="E115" i="41"/>
  <c r="D38" i="31"/>
  <c r="E38" i="31"/>
  <c r="B35" i="41"/>
  <c r="F35" i="41"/>
  <c r="G35" i="41" s="1"/>
  <c r="G114" i="45"/>
  <c r="D115" i="45"/>
  <c r="E115" i="45" s="1"/>
  <c r="B37" i="30"/>
  <c r="F37" i="30"/>
  <c r="G37" i="30" s="1"/>
  <c r="B44" i="3"/>
  <c r="F44" i="3"/>
  <c r="H44" i="3" s="1"/>
  <c r="H114" i="39"/>
  <c r="I114" i="39"/>
  <c r="B35" i="38"/>
  <c r="F35" i="38"/>
  <c r="B38" i="28"/>
  <c r="F38" i="28"/>
  <c r="H38" i="28" s="1"/>
  <c r="I39" i="29"/>
  <c r="F34" i="45"/>
  <c r="H34" i="45" s="1"/>
  <c r="B34" i="45"/>
  <c r="F42" i="25"/>
  <c r="H42" i="25" s="1"/>
  <c r="B42" i="25"/>
  <c r="B36" i="13"/>
  <c r="D115" i="43"/>
  <c r="G114" i="43"/>
  <c r="E115" i="43"/>
  <c r="B44" i="8"/>
  <c r="F44" i="8"/>
  <c r="H44" i="8" s="1"/>
  <c r="E36" i="13"/>
  <c r="F36" i="13" s="1"/>
  <c r="B44" i="4"/>
  <c r="F44" i="4"/>
  <c r="H44" i="4" s="1"/>
  <c r="I34" i="37"/>
  <c r="B46" i="11"/>
  <c r="F46" i="11"/>
  <c r="G46" i="11" s="1"/>
  <c r="J117" i="31"/>
  <c r="B42" i="22"/>
  <c r="F42" i="22"/>
  <c r="G42" i="22" s="1"/>
  <c r="B115" i="39"/>
  <c r="F115" i="39"/>
  <c r="B40" i="24"/>
  <c r="F40" i="24"/>
  <c r="H40" i="24" s="1"/>
  <c r="B44" i="5"/>
  <c r="F44" i="5"/>
  <c r="G44" i="5" s="1"/>
  <c r="E119" i="31"/>
  <c r="D119" i="31"/>
  <c r="G118" i="31"/>
  <c r="B35" i="40"/>
  <c r="F35" i="40"/>
  <c r="G35" i="40" s="1"/>
  <c r="B35" i="37"/>
  <c r="F35" i="37"/>
  <c r="G35" i="37" s="1"/>
  <c r="G34" i="44" l="1"/>
  <c r="G34" i="46"/>
  <c r="I34" i="46" s="1"/>
  <c r="D35" i="46"/>
  <c r="E35" i="46"/>
  <c r="D116" i="46"/>
  <c r="G115" i="46"/>
  <c r="J114" i="42"/>
  <c r="J114" i="46"/>
  <c r="J118" i="29"/>
  <c r="H115" i="13"/>
  <c r="I115" i="13"/>
  <c r="B116" i="13"/>
  <c r="E116" i="13"/>
  <c r="F116" i="13" s="1"/>
  <c r="H35" i="41"/>
  <c r="I35" i="41" s="1"/>
  <c r="J114" i="39"/>
  <c r="G115" i="42"/>
  <c r="D116" i="42"/>
  <c r="H114" i="44"/>
  <c r="I114" i="44"/>
  <c r="I34" i="44"/>
  <c r="B115" i="44"/>
  <c r="E115" i="44"/>
  <c r="F115" i="44" s="1"/>
  <c r="H42" i="22"/>
  <c r="I42" i="22" s="1"/>
  <c r="G47" i="7"/>
  <c r="I47" i="7" s="1"/>
  <c r="F46" i="9"/>
  <c r="B46" i="9"/>
  <c r="G44" i="4"/>
  <c r="I44" i="4" s="1"/>
  <c r="G35" i="43"/>
  <c r="I35" i="43" s="1"/>
  <c r="H34" i="42"/>
  <c r="I34" i="42" s="1"/>
  <c r="G46" i="10"/>
  <c r="I46" i="10" s="1"/>
  <c r="D45" i="6"/>
  <c r="E45" i="6"/>
  <c r="H46" i="11"/>
  <c r="I46" i="11" s="1"/>
  <c r="H37" i="30"/>
  <c r="I37" i="30" s="1"/>
  <c r="H44" i="6"/>
  <c r="I44" i="6" s="1"/>
  <c r="B39" i="27"/>
  <c r="F39" i="27"/>
  <c r="H39" i="27" s="1"/>
  <c r="E35" i="44"/>
  <c r="D35" i="44"/>
  <c r="J114" i="38"/>
  <c r="H118" i="27"/>
  <c r="I118" i="27"/>
  <c r="B124" i="8"/>
  <c r="F124" i="8"/>
  <c r="H114" i="37"/>
  <c r="I114" i="37"/>
  <c r="F115" i="40"/>
  <c r="B115" i="40"/>
  <c r="I124" i="11"/>
  <c r="H124" i="11"/>
  <c r="H122" i="3"/>
  <c r="I122" i="3"/>
  <c r="J122" i="3" s="1"/>
  <c r="B125" i="9"/>
  <c r="F125" i="9"/>
  <c r="I120" i="23"/>
  <c r="H120" i="23"/>
  <c r="F123" i="4"/>
  <c r="B123" i="4"/>
  <c r="I117" i="28"/>
  <c r="H117" i="28"/>
  <c r="B124" i="6"/>
  <c r="F124" i="6"/>
  <c r="F117" i="30"/>
  <c r="B117" i="30"/>
  <c r="F119" i="27"/>
  <c r="B119" i="27"/>
  <c r="H119" i="24"/>
  <c r="I119" i="24"/>
  <c r="J119" i="24" s="1"/>
  <c r="I121" i="25"/>
  <c r="H121" i="25"/>
  <c r="F115" i="37"/>
  <c r="B115" i="37"/>
  <c r="B126" i="10"/>
  <c r="F126" i="10"/>
  <c r="F126" i="7"/>
  <c r="B126" i="7"/>
  <c r="I114" i="40"/>
  <c r="H114" i="40"/>
  <c r="F125" i="11"/>
  <c r="B125" i="11"/>
  <c r="B121" i="23"/>
  <c r="F121" i="23"/>
  <c r="B122" i="22"/>
  <c r="F122" i="22"/>
  <c r="H122" i="5"/>
  <c r="I122" i="5"/>
  <c r="H123" i="6"/>
  <c r="I123" i="6"/>
  <c r="J123" i="6" s="1"/>
  <c r="B120" i="24"/>
  <c r="F120" i="24"/>
  <c r="B122" i="25"/>
  <c r="F122" i="25"/>
  <c r="H125" i="10"/>
  <c r="I125" i="10"/>
  <c r="H125" i="7"/>
  <c r="I125" i="7"/>
  <c r="J125" i="7" s="1"/>
  <c r="B123" i="3"/>
  <c r="F123" i="3"/>
  <c r="D116" i="38"/>
  <c r="G115" i="38"/>
  <c r="E116" i="38"/>
  <c r="H124" i="9"/>
  <c r="I124" i="9"/>
  <c r="H121" i="22"/>
  <c r="I121" i="22"/>
  <c r="F123" i="5"/>
  <c r="B123" i="5"/>
  <c r="I123" i="8"/>
  <c r="H123" i="8"/>
  <c r="H122" i="4"/>
  <c r="I122" i="4"/>
  <c r="B118" i="28"/>
  <c r="F118" i="28"/>
  <c r="H116" i="30"/>
  <c r="I116" i="30"/>
  <c r="E120" i="29"/>
  <c r="G119" i="29"/>
  <c r="D120" i="29"/>
  <c r="H35" i="40"/>
  <c r="I35" i="40" s="1"/>
  <c r="D41" i="24"/>
  <c r="E41" i="24"/>
  <c r="D39" i="28"/>
  <c r="E39" i="28"/>
  <c r="D37" i="39"/>
  <c r="E37" i="39"/>
  <c r="D37" i="13"/>
  <c r="E37" i="13" s="1"/>
  <c r="D45" i="3"/>
  <c r="E45" i="3"/>
  <c r="E45" i="4"/>
  <c r="D45" i="4"/>
  <c r="I118" i="31"/>
  <c r="H118" i="31"/>
  <c r="H35" i="37"/>
  <c r="I35" i="37" s="1"/>
  <c r="B119" i="31"/>
  <c r="F119" i="31"/>
  <c r="G40" i="24"/>
  <c r="I40" i="24" s="1"/>
  <c r="G38" i="28"/>
  <c r="I38" i="28" s="1"/>
  <c r="D36" i="41"/>
  <c r="E36" i="41"/>
  <c r="D35" i="42"/>
  <c r="E35" i="42"/>
  <c r="E48" i="7"/>
  <c r="D48" i="7"/>
  <c r="D45" i="8"/>
  <c r="E45" i="8"/>
  <c r="I114" i="43"/>
  <c r="H114" i="43"/>
  <c r="D43" i="25"/>
  <c r="E43" i="25"/>
  <c r="E36" i="38"/>
  <c r="D36" i="38"/>
  <c r="B38" i="31"/>
  <c r="F38" i="31"/>
  <c r="H38" i="31" s="1"/>
  <c r="B40" i="29"/>
  <c r="F40" i="29"/>
  <c r="H40" i="29" s="1"/>
  <c r="D116" i="39"/>
  <c r="E116" i="39"/>
  <c r="G115" i="39"/>
  <c r="F115" i="43"/>
  <c r="B115" i="43"/>
  <c r="G42" i="25"/>
  <c r="I42" i="25" s="1"/>
  <c r="G35" i="38"/>
  <c r="D38" i="30"/>
  <c r="E38" i="30"/>
  <c r="B115" i="45"/>
  <c r="F115" i="45"/>
  <c r="D35" i="45"/>
  <c r="E35" i="45"/>
  <c r="E42" i="23"/>
  <c r="D42" i="23"/>
  <c r="D36" i="37"/>
  <c r="E36" i="37"/>
  <c r="H44" i="5"/>
  <c r="I44" i="5" s="1"/>
  <c r="E47" i="11"/>
  <c r="D47" i="11"/>
  <c r="G36" i="13"/>
  <c r="H35" i="38"/>
  <c r="I114" i="45"/>
  <c r="H114" i="45"/>
  <c r="H114" i="41"/>
  <c r="I114" i="41"/>
  <c r="G36" i="39"/>
  <c r="H41" i="23"/>
  <c r="I41" i="23" s="1"/>
  <c r="E47" i="10"/>
  <c r="D47" i="10"/>
  <c r="D36" i="40"/>
  <c r="E36" i="40"/>
  <c r="D45" i="5"/>
  <c r="E45" i="5"/>
  <c r="D43" i="22"/>
  <c r="E43" i="22"/>
  <c r="G44" i="8"/>
  <c r="I44" i="8" s="1"/>
  <c r="H36" i="13"/>
  <c r="G34" i="45"/>
  <c r="I34" i="45" s="1"/>
  <c r="G44" i="3"/>
  <c r="I44" i="3" s="1"/>
  <c r="B115" i="41"/>
  <c r="F115" i="41"/>
  <c r="D36" i="43"/>
  <c r="E36" i="43"/>
  <c r="H36" i="39"/>
  <c r="F35" i="46" l="1"/>
  <c r="B35" i="46"/>
  <c r="H35" i="46"/>
  <c r="G35" i="46"/>
  <c r="I35" i="46" s="1"/>
  <c r="J114" i="44"/>
  <c r="H115" i="46"/>
  <c r="I115" i="46"/>
  <c r="E116" i="46"/>
  <c r="F116" i="46" s="1"/>
  <c r="B116" i="46"/>
  <c r="G40" i="29"/>
  <c r="J115" i="13"/>
  <c r="G116" i="13"/>
  <c r="D117" i="13"/>
  <c r="B117" i="13" s="1"/>
  <c r="J116" i="30"/>
  <c r="J117" i="28"/>
  <c r="J124" i="11"/>
  <c r="J124" i="9"/>
  <c r="J123" i="8"/>
  <c r="J122" i="4"/>
  <c r="E116" i="42"/>
  <c r="F116" i="42" s="1"/>
  <c r="B116" i="42"/>
  <c r="G38" i="31"/>
  <c r="I38" i="31" s="1"/>
  <c r="J114" i="40"/>
  <c r="G39" i="27"/>
  <c r="I39" i="27" s="1"/>
  <c r="I115" i="42"/>
  <c r="H115" i="42"/>
  <c r="I36" i="39"/>
  <c r="D116" i="44"/>
  <c r="G115" i="44"/>
  <c r="H46" i="9"/>
  <c r="D47" i="9"/>
  <c r="E47" i="9"/>
  <c r="B35" i="44"/>
  <c r="F35" i="44"/>
  <c r="G35" i="44" s="1"/>
  <c r="E40" i="27"/>
  <c r="D40" i="27"/>
  <c r="G46" i="9"/>
  <c r="I36" i="13"/>
  <c r="F45" i="6"/>
  <c r="G45" i="6" s="1"/>
  <c r="B45" i="6"/>
  <c r="I115" i="38"/>
  <c r="H115" i="38"/>
  <c r="D123" i="25"/>
  <c r="E123" i="25"/>
  <c r="G122" i="25"/>
  <c r="D123" i="22"/>
  <c r="G122" i="22"/>
  <c r="E123" i="22"/>
  <c r="E125" i="8"/>
  <c r="D125" i="8"/>
  <c r="G124" i="8"/>
  <c r="F116" i="38"/>
  <c r="B116" i="38"/>
  <c r="D126" i="11"/>
  <c r="E126" i="11"/>
  <c r="G125" i="11"/>
  <c r="G126" i="7"/>
  <c r="E127" i="7"/>
  <c r="D127" i="7"/>
  <c r="E116" i="37"/>
  <c r="G115" i="37"/>
  <c r="D116" i="37"/>
  <c r="G117" i="30"/>
  <c r="D118" i="30"/>
  <c r="E118" i="30"/>
  <c r="J120" i="23"/>
  <c r="G115" i="40"/>
  <c r="D116" i="40"/>
  <c r="E116" i="40"/>
  <c r="E124" i="5"/>
  <c r="G123" i="5"/>
  <c r="D124" i="5"/>
  <c r="G123" i="3"/>
  <c r="D124" i="3"/>
  <c r="E124" i="3"/>
  <c r="J125" i="10"/>
  <c r="G120" i="24"/>
  <c r="E121" i="24"/>
  <c r="D121" i="24"/>
  <c r="J122" i="5"/>
  <c r="G121" i="23"/>
  <c r="E122" i="23"/>
  <c r="D122" i="23"/>
  <c r="E127" i="10"/>
  <c r="G126" i="10"/>
  <c r="D127" i="10"/>
  <c r="G124" i="6"/>
  <c r="D125" i="6"/>
  <c r="E125" i="6"/>
  <c r="D126" i="9"/>
  <c r="G125" i="9"/>
  <c r="E126" i="9"/>
  <c r="J114" i="37"/>
  <c r="J118" i="27"/>
  <c r="D119" i="28"/>
  <c r="E119" i="28"/>
  <c r="G118" i="28"/>
  <c r="J121" i="22"/>
  <c r="J121" i="25"/>
  <c r="E120" i="27"/>
  <c r="D120" i="27"/>
  <c r="G119" i="27"/>
  <c r="E124" i="4"/>
  <c r="D124" i="4"/>
  <c r="G123" i="4"/>
  <c r="H119" i="29"/>
  <c r="I119" i="29"/>
  <c r="J119" i="29" s="1"/>
  <c r="J114" i="41"/>
  <c r="B120" i="29"/>
  <c r="F120" i="29"/>
  <c r="F36" i="43"/>
  <c r="H36" i="43" s="1"/>
  <c r="B36" i="43"/>
  <c r="F36" i="40"/>
  <c r="H36" i="40" s="1"/>
  <c r="B36" i="40"/>
  <c r="F45" i="8"/>
  <c r="G45" i="8" s="1"/>
  <c r="B45" i="8"/>
  <c r="B36" i="38"/>
  <c r="F36" i="38"/>
  <c r="D120" i="31"/>
  <c r="G119" i="31"/>
  <c r="E120" i="31"/>
  <c r="J114" i="45"/>
  <c r="B47" i="11"/>
  <c r="F47" i="11"/>
  <c r="H47" i="11" s="1"/>
  <c r="D41" i="29"/>
  <c r="E41" i="29"/>
  <c r="F36" i="41"/>
  <c r="B36" i="41"/>
  <c r="F45" i="3"/>
  <c r="H45" i="3" s="1"/>
  <c r="B45" i="3"/>
  <c r="B43" i="25"/>
  <c r="F43" i="25"/>
  <c r="F35" i="42"/>
  <c r="H35" i="42" s="1"/>
  <c r="B35" i="42"/>
  <c r="F43" i="22"/>
  <c r="H43" i="22" s="1"/>
  <c r="B43" i="22"/>
  <c r="B42" i="23"/>
  <c r="F42" i="23"/>
  <c r="H42" i="23" s="1"/>
  <c r="I40" i="29"/>
  <c r="F41" i="24"/>
  <c r="H41" i="24" s="1"/>
  <c r="B41" i="24"/>
  <c r="D116" i="43"/>
  <c r="G115" i="43"/>
  <c r="E116" i="43"/>
  <c r="F37" i="13"/>
  <c r="H37" i="13" s="1"/>
  <c r="B37" i="13"/>
  <c r="F47" i="10"/>
  <c r="G47" i="10" s="1"/>
  <c r="B47" i="10"/>
  <c r="I35" i="38"/>
  <c r="B116" i="39"/>
  <c r="F116" i="39"/>
  <c r="J114" i="43"/>
  <c r="F45" i="4"/>
  <c r="G45" i="4" s="1"/>
  <c r="B45" i="4"/>
  <c r="F48" i="7"/>
  <c r="H48" i="7" s="1"/>
  <c r="B48" i="7"/>
  <c r="B45" i="5"/>
  <c r="F45" i="5"/>
  <c r="G45" i="5" s="1"/>
  <c r="D39" i="31"/>
  <c r="E39" i="31"/>
  <c r="B35" i="45"/>
  <c r="F35" i="45"/>
  <c r="G35" i="45" s="1"/>
  <c r="B38" i="30"/>
  <c r="F38" i="30"/>
  <c r="F37" i="39"/>
  <c r="H37" i="39" s="1"/>
  <c r="B37" i="39"/>
  <c r="D116" i="45"/>
  <c r="E116" i="45" s="1"/>
  <c r="G115" i="45"/>
  <c r="H115" i="39"/>
  <c r="I115" i="39"/>
  <c r="J118" i="31"/>
  <c r="B36" i="37"/>
  <c r="F36" i="37"/>
  <c r="G36" i="37" s="1"/>
  <c r="D116" i="41"/>
  <c r="G115" i="41"/>
  <c r="E116" i="41"/>
  <c r="F39" i="28"/>
  <c r="G39" i="28" s="1"/>
  <c r="B39" i="28"/>
  <c r="J115" i="46" l="1"/>
  <c r="D36" i="46"/>
  <c r="E36" i="46"/>
  <c r="G116" i="46"/>
  <c r="D117" i="46"/>
  <c r="E117" i="13"/>
  <c r="F117" i="13" s="1"/>
  <c r="H116" i="13"/>
  <c r="I116" i="13"/>
  <c r="J115" i="42"/>
  <c r="G116" i="42"/>
  <c r="D117" i="42"/>
  <c r="G37" i="39"/>
  <c r="I37" i="39" s="1"/>
  <c r="H115" i="44"/>
  <c r="I115" i="44"/>
  <c r="H45" i="6"/>
  <c r="I45" i="6" s="1"/>
  <c r="E116" i="44"/>
  <c r="F116" i="44" s="1"/>
  <c r="B116" i="44"/>
  <c r="H35" i="45"/>
  <c r="I35" i="45" s="1"/>
  <c r="H36" i="37"/>
  <c r="I36" i="37" s="1"/>
  <c r="G45" i="3"/>
  <c r="G36" i="43"/>
  <c r="I36" i="43" s="1"/>
  <c r="E36" i="44"/>
  <c r="D36" i="44"/>
  <c r="H39" i="28"/>
  <c r="I39" i="28" s="1"/>
  <c r="F40" i="27"/>
  <c r="H40" i="27" s="1"/>
  <c r="B40" i="27"/>
  <c r="B47" i="9"/>
  <c r="F47" i="9"/>
  <c r="H47" i="9" s="1"/>
  <c r="E46" i="6"/>
  <c r="D46" i="6"/>
  <c r="H35" i="44"/>
  <c r="I35" i="44" s="1"/>
  <c r="I46" i="9"/>
  <c r="F124" i="4"/>
  <c r="B124" i="4"/>
  <c r="F125" i="6"/>
  <c r="B125" i="6"/>
  <c r="F124" i="5"/>
  <c r="B124" i="5"/>
  <c r="F116" i="40"/>
  <c r="B116" i="40"/>
  <c r="F118" i="30"/>
  <c r="B118" i="30"/>
  <c r="I125" i="11"/>
  <c r="H125" i="11"/>
  <c r="E117" i="38"/>
  <c r="D117" i="38"/>
  <c r="G116" i="38"/>
  <c r="F119" i="28"/>
  <c r="B119" i="28"/>
  <c r="H125" i="9"/>
  <c r="I125" i="9"/>
  <c r="I124" i="6"/>
  <c r="H124" i="6"/>
  <c r="F122" i="23"/>
  <c r="B122" i="23"/>
  <c r="F121" i="24"/>
  <c r="B121" i="24"/>
  <c r="H123" i="5"/>
  <c r="I123" i="5"/>
  <c r="I115" i="40"/>
  <c r="H115" i="40"/>
  <c r="I117" i="30"/>
  <c r="H117" i="30"/>
  <c r="B127" i="7"/>
  <c r="F127" i="7"/>
  <c r="I124" i="8"/>
  <c r="J124" i="8" s="1"/>
  <c r="H124" i="8"/>
  <c r="H122" i="22"/>
  <c r="I122" i="22"/>
  <c r="F123" i="25"/>
  <c r="B123" i="25"/>
  <c r="I119" i="27"/>
  <c r="H119" i="27"/>
  <c r="B126" i="9"/>
  <c r="F126" i="9"/>
  <c r="F127" i="10"/>
  <c r="B127" i="10"/>
  <c r="F124" i="3"/>
  <c r="B124" i="3"/>
  <c r="F116" i="37"/>
  <c r="B116" i="37"/>
  <c r="F126" i="11"/>
  <c r="B126" i="11"/>
  <c r="F125" i="8"/>
  <c r="B125" i="8"/>
  <c r="F123" i="22"/>
  <c r="B123" i="22"/>
  <c r="H123" i="4"/>
  <c r="I123" i="4"/>
  <c r="J123" i="4" s="1"/>
  <c r="F120" i="27"/>
  <c r="B120" i="27"/>
  <c r="H118" i="28"/>
  <c r="I118" i="28"/>
  <c r="J118" i="28" s="1"/>
  <c r="I126" i="10"/>
  <c r="H126" i="10"/>
  <c r="H121" i="23"/>
  <c r="I121" i="23"/>
  <c r="J121" i="23" s="1"/>
  <c r="I120" i="24"/>
  <c r="H120" i="24"/>
  <c r="I123" i="3"/>
  <c r="H123" i="3"/>
  <c r="I115" i="37"/>
  <c r="H115" i="37"/>
  <c r="H126" i="7"/>
  <c r="I126" i="7"/>
  <c r="J126" i="7" s="1"/>
  <c r="H122" i="25"/>
  <c r="I122" i="25"/>
  <c r="J115" i="38"/>
  <c r="E121" i="29"/>
  <c r="G120" i="29"/>
  <c r="D121" i="29"/>
  <c r="J115" i="39"/>
  <c r="I119" i="31"/>
  <c r="H119" i="31"/>
  <c r="D37" i="40"/>
  <c r="E37" i="40"/>
  <c r="H115" i="41"/>
  <c r="I115" i="41"/>
  <c r="D117" i="39"/>
  <c r="E117" i="39"/>
  <c r="G116" i="39"/>
  <c r="E36" i="42"/>
  <c r="D36" i="42"/>
  <c r="I45" i="3"/>
  <c r="B120" i="31"/>
  <c r="F120" i="31"/>
  <c r="D49" i="7"/>
  <c r="E49" i="7"/>
  <c r="H45" i="4"/>
  <c r="I45" i="4" s="1"/>
  <c r="G42" i="23"/>
  <c r="I42" i="23" s="1"/>
  <c r="D44" i="25"/>
  <c r="E44" i="25"/>
  <c r="B116" i="41"/>
  <c r="F116" i="41"/>
  <c r="D36" i="45"/>
  <c r="E36" i="45"/>
  <c r="F39" i="31"/>
  <c r="G39" i="31" s="1"/>
  <c r="B39" i="31"/>
  <c r="G35" i="42"/>
  <c r="I35" i="42" s="1"/>
  <c r="G43" i="25"/>
  <c r="D46" i="3"/>
  <c r="E46" i="3"/>
  <c r="F41" i="29"/>
  <c r="B41" i="29"/>
  <c r="D39" i="30"/>
  <c r="E39" i="30"/>
  <c r="D37" i="41"/>
  <c r="E37" i="41"/>
  <c r="D46" i="5"/>
  <c r="E46" i="5"/>
  <c r="D48" i="10"/>
  <c r="E48" i="10"/>
  <c r="E42" i="24"/>
  <c r="D42" i="24"/>
  <c r="E43" i="23"/>
  <c r="D43" i="23"/>
  <c r="D46" i="8"/>
  <c r="E46" i="8"/>
  <c r="I115" i="45"/>
  <c r="H115" i="45"/>
  <c r="G43" i="22"/>
  <c r="I43" i="22" s="1"/>
  <c r="H43" i="25"/>
  <c r="D48" i="11"/>
  <c r="E48" i="11"/>
  <c r="D37" i="38"/>
  <c r="E37" i="38"/>
  <c r="F116" i="45"/>
  <c r="B116" i="45"/>
  <c r="H38" i="30"/>
  <c r="H115" i="43"/>
  <c r="I115" i="43"/>
  <c r="G36" i="41"/>
  <c r="H36" i="38"/>
  <c r="H45" i="8"/>
  <c r="I45" i="8" s="1"/>
  <c r="E37" i="43"/>
  <c r="D37" i="43"/>
  <c r="H45" i="5"/>
  <c r="I45" i="5" s="1"/>
  <c r="H36" i="41"/>
  <c r="H47" i="10"/>
  <c r="I47" i="10" s="1"/>
  <c r="D38" i="13"/>
  <c r="E38" i="13" s="1"/>
  <c r="D40" i="28"/>
  <c r="E40" i="28"/>
  <c r="E37" i="37"/>
  <c r="D37" i="37"/>
  <c r="E38" i="39"/>
  <c r="D38" i="39"/>
  <c r="G38" i="30"/>
  <c r="G48" i="7"/>
  <c r="I48" i="7" s="1"/>
  <c r="G37" i="13"/>
  <c r="I37" i="13" s="1"/>
  <c r="F116" i="43"/>
  <c r="B116" i="43"/>
  <c r="G41" i="24"/>
  <c r="I41" i="24" s="1"/>
  <c r="G47" i="11"/>
  <c r="I47" i="11" s="1"/>
  <c r="G36" i="38"/>
  <c r="G36" i="40"/>
  <c r="I36" i="40" s="1"/>
  <c r="D46" i="4"/>
  <c r="E46" i="4"/>
  <c r="D44" i="22"/>
  <c r="E44" i="22"/>
  <c r="J115" i="43" l="1"/>
  <c r="B36" i="46"/>
  <c r="F36" i="46"/>
  <c r="H36" i="46" s="1"/>
  <c r="G36" i="46"/>
  <c r="E117" i="46"/>
  <c r="F117" i="46" s="1"/>
  <c r="B117" i="46"/>
  <c r="J116" i="13"/>
  <c r="H116" i="46"/>
  <c r="I116" i="46"/>
  <c r="J115" i="44"/>
  <c r="G117" i="13"/>
  <c r="D118" i="13"/>
  <c r="J117" i="30"/>
  <c r="J119" i="27"/>
  <c r="G40" i="27"/>
  <c r="I40" i="27" s="1"/>
  <c r="J122" i="25"/>
  <c r="J124" i="6"/>
  <c r="E117" i="42"/>
  <c r="F117" i="42" s="1"/>
  <c r="B117" i="42"/>
  <c r="J115" i="40"/>
  <c r="I116" i="42"/>
  <c r="H116" i="42"/>
  <c r="D117" i="44"/>
  <c r="G116" i="44"/>
  <c r="I43" i="25"/>
  <c r="G47" i="9"/>
  <c r="I47" i="9" s="1"/>
  <c r="I36" i="38"/>
  <c r="F46" i="6"/>
  <c r="H46" i="6" s="1"/>
  <c r="B46" i="6"/>
  <c r="E48" i="9"/>
  <c r="D48" i="9"/>
  <c r="F36" i="44"/>
  <c r="G36" i="44" s="1"/>
  <c r="B36" i="44"/>
  <c r="I38" i="30"/>
  <c r="D41" i="27"/>
  <c r="E41" i="27"/>
  <c r="J123" i="3"/>
  <c r="D126" i="8"/>
  <c r="E126" i="8"/>
  <c r="G125" i="8"/>
  <c r="E117" i="37"/>
  <c r="G116" i="37"/>
  <c r="D117" i="37"/>
  <c r="E128" i="10"/>
  <c r="G127" i="10"/>
  <c r="D128" i="10"/>
  <c r="D122" i="24"/>
  <c r="E122" i="24"/>
  <c r="G121" i="24"/>
  <c r="G119" i="28"/>
  <c r="D120" i="28"/>
  <c r="E120" i="28"/>
  <c r="E127" i="9"/>
  <c r="D127" i="9"/>
  <c r="G126" i="9"/>
  <c r="J123" i="5"/>
  <c r="J125" i="9"/>
  <c r="H116" i="38"/>
  <c r="I116" i="38"/>
  <c r="J125" i="11"/>
  <c r="D117" i="40"/>
  <c r="E117" i="40"/>
  <c r="G116" i="40"/>
  <c r="E126" i="6"/>
  <c r="D126" i="6"/>
  <c r="G125" i="6"/>
  <c r="J115" i="37"/>
  <c r="J120" i="24"/>
  <c r="J126" i="10"/>
  <c r="G120" i="27"/>
  <c r="D121" i="27"/>
  <c r="E121" i="27"/>
  <c r="D124" i="22"/>
  <c r="E124" i="22"/>
  <c r="G123" i="22"/>
  <c r="G126" i="11"/>
  <c r="D127" i="11"/>
  <c r="E127" i="11"/>
  <c r="G124" i="3"/>
  <c r="E125" i="3"/>
  <c r="D125" i="3"/>
  <c r="D124" i="25"/>
  <c r="E124" i="25"/>
  <c r="G123" i="25"/>
  <c r="E123" i="23"/>
  <c r="D123" i="23"/>
  <c r="G122" i="23"/>
  <c r="B117" i="38"/>
  <c r="F117" i="38"/>
  <c r="J122" i="22"/>
  <c r="D128" i="7"/>
  <c r="G127" i="7"/>
  <c r="E128" i="7"/>
  <c r="D119" i="30"/>
  <c r="E119" i="30"/>
  <c r="G118" i="30"/>
  <c r="G124" i="5"/>
  <c r="D125" i="5"/>
  <c r="E125" i="5"/>
  <c r="G124" i="4"/>
  <c r="D125" i="4"/>
  <c r="E125" i="4"/>
  <c r="J115" i="45"/>
  <c r="F121" i="29"/>
  <c r="B121" i="29"/>
  <c r="H120" i="29"/>
  <c r="I120" i="29"/>
  <c r="J115" i="41"/>
  <c r="J119" i="31"/>
  <c r="B49" i="7"/>
  <c r="F49" i="7"/>
  <c r="H49" i="7" s="1"/>
  <c r="D42" i="29"/>
  <c r="E42" i="29"/>
  <c r="B46" i="4"/>
  <c r="F46" i="4"/>
  <c r="H46" i="4" s="1"/>
  <c r="B37" i="43"/>
  <c r="F37" i="43"/>
  <c r="G37" i="43" s="1"/>
  <c r="F43" i="23"/>
  <c r="B43" i="23"/>
  <c r="B48" i="10"/>
  <c r="F48" i="10"/>
  <c r="F39" i="30"/>
  <c r="H39" i="30" s="1"/>
  <c r="B39" i="30"/>
  <c r="F36" i="45"/>
  <c r="B36" i="45"/>
  <c r="D117" i="43"/>
  <c r="G116" i="43"/>
  <c r="E117" i="43"/>
  <c r="F38" i="13"/>
  <c r="B38" i="13"/>
  <c r="B46" i="3"/>
  <c r="F46" i="3"/>
  <c r="G46" i="3" s="1"/>
  <c r="B44" i="25"/>
  <c r="F44" i="25"/>
  <c r="G44" i="25" s="1"/>
  <c r="F37" i="40"/>
  <c r="G37" i="40" s="1"/>
  <c r="B37" i="40"/>
  <c r="D40" i="31"/>
  <c r="E40" i="31"/>
  <c r="F40" i="28"/>
  <c r="B40" i="28"/>
  <c r="B36" i="42"/>
  <c r="F36" i="42"/>
  <c r="G36" i="42" s="1"/>
  <c r="F37" i="41"/>
  <c r="B37" i="41"/>
  <c r="I36" i="41"/>
  <c r="B38" i="39"/>
  <c r="F38" i="39"/>
  <c r="G38" i="39" s="1"/>
  <c r="D117" i="45"/>
  <c r="E117" i="45" s="1"/>
  <c r="G116" i="45"/>
  <c r="F42" i="24"/>
  <c r="G42" i="24" s="1"/>
  <c r="B42" i="24"/>
  <c r="F46" i="5"/>
  <c r="B46" i="5"/>
  <c r="D117" i="41"/>
  <c r="G116" i="41"/>
  <c r="E117" i="41"/>
  <c r="E121" i="31"/>
  <c r="D121" i="31"/>
  <c r="G120" i="31"/>
  <c r="H116" i="39"/>
  <c r="I116" i="39"/>
  <c r="B37" i="37"/>
  <c r="F37" i="37"/>
  <c r="H37" i="37" s="1"/>
  <c r="B37" i="38"/>
  <c r="F37" i="38"/>
  <c r="H37" i="38" s="1"/>
  <c r="B46" i="8"/>
  <c r="F46" i="8"/>
  <c r="H46" i="8" s="1"/>
  <c r="H41" i="29"/>
  <c r="H39" i="31"/>
  <c r="I39" i="31" s="1"/>
  <c r="F117" i="39"/>
  <c r="B117" i="39"/>
  <c r="F44" i="22"/>
  <c r="B44" i="22"/>
  <c r="B48" i="11"/>
  <c r="F48" i="11"/>
  <c r="G41" i="29"/>
  <c r="J116" i="46" l="1"/>
  <c r="I36" i="46"/>
  <c r="E37" i="46"/>
  <c r="D37" i="46"/>
  <c r="G117" i="46"/>
  <c r="D118" i="46"/>
  <c r="E118" i="13"/>
  <c r="F118" i="13"/>
  <c r="B118" i="13"/>
  <c r="H117" i="13"/>
  <c r="I117" i="13"/>
  <c r="H37" i="43"/>
  <c r="I37" i="43" s="1"/>
  <c r="G117" i="42"/>
  <c r="D118" i="42"/>
  <c r="H38" i="39"/>
  <c r="I38" i="39" s="1"/>
  <c r="J116" i="42"/>
  <c r="H46" i="3"/>
  <c r="I46" i="3" s="1"/>
  <c r="J116" i="38"/>
  <c r="I41" i="29"/>
  <c r="G39" i="30"/>
  <c r="I39" i="30" s="1"/>
  <c r="I116" i="44"/>
  <c r="H116" i="44"/>
  <c r="E117" i="44"/>
  <c r="F117" i="44" s="1"/>
  <c r="B117" i="44"/>
  <c r="B41" i="27"/>
  <c r="F41" i="27"/>
  <c r="H41" i="27" s="1"/>
  <c r="H36" i="44"/>
  <c r="I36" i="44" s="1"/>
  <c r="E37" i="44"/>
  <c r="D37" i="44"/>
  <c r="G37" i="38"/>
  <c r="I37" i="38" s="1"/>
  <c r="G46" i="4"/>
  <c r="I46" i="4" s="1"/>
  <c r="B48" i="9"/>
  <c r="F48" i="9"/>
  <c r="G48" i="9" s="1"/>
  <c r="G46" i="6"/>
  <c r="I46" i="6" s="1"/>
  <c r="E47" i="6"/>
  <c r="D47" i="6"/>
  <c r="H37" i="40"/>
  <c r="I37" i="40" s="1"/>
  <c r="H124" i="4"/>
  <c r="I124" i="4"/>
  <c r="I118" i="30"/>
  <c r="J118" i="30" s="1"/>
  <c r="H118" i="30"/>
  <c r="I127" i="7"/>
  <c r="H127" i="7"/>
  <c r="H123" i="25"/>
  <c r="I123" i="25"/>
  <c r="H126" i="11"/>
  <c r="I126" i="11"/>
  <c r="H125" i="8"/>
  <c r="I125" i="8"/>
  <c r="B128" i="7"/>
  <c r="F128" i="7"/>
  <c r="I122" i="23"/>
  <c r="J122" i="23" s="1"/>
  <c r="H122" i="23"/>
  <c r="I124" i="3"/>
  <c r="H124" i="3"/>
  <c r="H123" i="22"/>
  <c r="I123" i="22"/>
  <c r="B121" i="27"/>
  <c r="F121" i="27"/>
  <c r="I116" i="40"/>
  <c r="H116" i="40"/>
  <c r="I126" i="9"/>
  <c r="H126" i="9"/>
  <c r="F120" i="28"/>
  <c r="B120" i="28"/>
  <c r="F122" i="24"/>
  <c r="B122" i="24"/>
  <c r="B117" i="37"/>
  <c r="F117" i="37"/>
  <c r="F125" i="5"/>
  <c r="B125" i="5"/>
  <c r="B119" i="30"/>
  <c r="F119" i="30"/>
  <c r="B123" i="23"/>
  <c r="F123" i="23"/>
  <c r="B124" i="25"/>
  <c r="F124" i="25"/>
  <c r="H120" i="27"/>
  <c r="I120" i="27"/>
  <c r="I125" i="6"/>
  <c r="H125" i="6"/>
  <c r="B127" i="9"/>
  <c r="F127" i="9"/>
  <c r="I119" i="28"/>
  <c r="J119" i="28" s="1"/>
  <c r="H119" i="28"/>
  <c r="F128" i="10"/>
  <c r="B128" i="10"/>
  <c r="I116" i="37"/>
  <c r="H116" i="37"/>
  <c r="B126" i="8"/>
  <c r="F126" i="8"/>
  <c r="F125" i="4"/>
  <c r="B125" i="4"/>
  <c r="I124" i="5"/>
  <c r="H124" i="5"/>
  <c r="G117" i="38"/>
  <c r="E118" i="38"/>
  <c r="D118" i="38"/>
  <c r="B125" i="3"/>
  <c r="F125" i="3"/>
  <c r="B127" i="11"/>
  <c r="F127" i="11"/>
  <c r="F124" i="22"/>
  <c r="B124" i="22"/>
  <c r="B126" i="6"/>
  <c r="F126" i="6"/>
  <c r="F117" i="40"/>
  <c r="B117" i="40"/>
  <c r="I121" i="24"/>
  <c r="J121" i="24" s="1"/>
  <c r="H121" i="24"/>
  <c r="I127" i="10"/>
  <c r="H127" i="10"/>
  <c r="G121" i="29"/>
  <c r="D122" i="29"/>
  <c r="E122" i="29"/>
  <c r="J120" i="29"/>
  <c r="J116" i="39"/>
  <c r="D47" i="5"/>
  <c r="E47" i="5"/>
  <c r="D41" i="28"/>
  <c r="E41" i="28"/>
  <c r="D44" i="23"/>
  <c r="E44" i="23"/>
  <c r="E49" i="11"/>
  <c r="D49" i="11"/>
  <c r="F117" i="41"/>
  <c r="B117" i="41"/>
  <c r="D39" i="13"/>
  <c r="E39" i="13" s="1"/>
  <c r="H43" i="23"/>
  <c r="G117" i="39"/>
  <c r="E118" i="39"/>
  <c r="D118" i="39"/>
  <c r="G46" i="8"/>
  <c r="I46" i="8" s="1"/>
  <c r="E38" i="41"/>
  <c r="D38" i="41"/>
  <c r="B40" i="31"/>
  <c r="F40" i="31"/>
  <c r="G40" i="31" s="1"/>
  <c r="D47" i="3"/>
  <c r="E47" i="3"/>
  <c r="G38" i="13"/>
  <c r="D49" i="10"/>
  <c r="E49" i="10"/>
  <c r="H48" i="11"/>
  <c r="E43" i="24"/>
  <c r="D43" i="24"/>
  <c r="G37" i="41"/>
  <c r="G48" i="11"/>
  <c r="H120" i="31"/>
  <c r="I120" i="31"/>
  <c r="H42" i="24"/>
  <c r="I42" i="24" s="1"/>
  <c r="D39" i="39"/>
  <c r="E39" i="39"/>
  <c r="H37" i="41"/>
  <c r="H116" i="43"/>
  <c r="I116" i="43"/>
  <c r="G48" i="10"/>
  <c r="E38" i="43"/>
  <c r="D38" i="43"/>
  <c r="E47" i="8"/>
  <c r="D47" i="8"/>
  <c r="D45" i="22"/>
  <c r="E45" i="22"/>
  <c r="B121" i="31"/>
  <c r="F121" i="31"/>
  <c r="D45" i="25"/>
  <c r="E45" i="25"/>
  <c r="H48" i="10"/>
  <c r="I116" i="45"/>
  <c r="H116" i="45"/>
  <c r="D50" i="7"/>
  <c r="E50" i="7"/>
  <c r="D38" i="37"/>
  <c r="E38" i="37"/>
  <c r="I116" i="41"/>
  <c r="H116" i="41"/>
  <c r="D37" i="42"/>
  <c r="E37" i="42"/>
  <c r="E37" i="45"/>
  <c r="D37" i="45"/>
  <c r="F42" i="29"/>
  <c r="H42" i="29" s="1"/>
  <c r="B42" i="29"/>
  <c r="D47" i="4"/>
  <c r="E47" i="4"/>
  <c r="H44" i="22"/>
  <c r="H46" i="5"/>
  <c r="B117" i="43"/>
  <c r="F117" i="43"/>
  <c r="G36" i="45"/>
  <c r="E38" i="38"/>
  <c r="D38" i="38"/>
  <c r="H40" i="28"/>
  <c r="E38" i="40"/>
  <c r="D38" i="40"/>
  <c r="H44" i="25"/>
  <c r="I44" i="25" s="1"/>
  <c r="G44" i="22"/>
  <c r="G37" i="37"/>
  <c r="I37" i="37" s="1"/>
  <c r="G46" i="5"/>
  <c r="B117" i="45"/>
  <c r="F117" i="45"/>
  <c r="H36" i="42"/>
  <c r="I36" i="42" s="1"/>
  <c r="G40" i="28"/>
  <c r="H38" i="13"/>
  <c r="H36" i="45"/>
  <c r="D40" i="30"/>
  <c r="E40" i="30"/>
  <c r="G43" i="23"/>
  <c r="G49" i="7"/>
  <c r="I49" i="7" s="1"/>
  <c r="I38" i="13" l="1"/>
  <c r="I37" i="41"/>
  <c r="B37" i="46"/>
  <c r="F37" i="46"/>
  <c r="G37" i="46" s="1"/>
  <c r="E118" i="46"/>
  <c r="F118" i="46" s="1"/>
  <c r="B118" i="46"/>
  <c r="H117" i="46"/>
  <c r="I117" i="46"/>
  <c r="J117" i="46" s="1"/>
  <c r="J125" i="8"/>
  <c r="G118" i="13"/>
  <c r="D119" i="13"/>
  <c r="J117" i="13"/>
  <c r="J116" i="44"/>
  <c r="G42" i="29"/>
  <c r="I42" i="29" s="1"/>
  <c r="J123" i="22"/>
  <c r="J126" i="9"/>
  <c r="H48" i="9"/>
  <c r="I48" i="9" s="1"/>
  <c r="J127" i="7"/>
  <c r="J125" i="6"/>
  <c r="J124" i="3"/>
  <c r="E118" i="42"/>
  <c r="F118" i="42" s="1"/>
  <c r="B118" i="42"/>
  <c r="I48" i="11"/>
  <c r="J116" i="37"/>
  <c r="H117" i="42"/>
  <c r="I117" i="42"/>
  <c r="D118" i="44"/>
  <c r="B118" i="44" s="1"/>
  <c r="G117" i="44"/>
  <c r="E118" i="44"/>
  <c r="F37" i="44"/>
  <c r="G37" i="44" s="1"/>
  <c r="B37" i="44"/>
  <c r="G41" i="27"/>
  <c r="I41" i="27" s="1"/>
  <c r="E42" i="27"/>
  <c r="D42" i="27"/>
  <c r="I44" i="22"/>
  <c r="H40" i="31"/>
  <c r="I40" i="31" s="1"/>
  <c r="B47" i="6"/>
  <c r="F47" i="6"/>
  <c r="E49" i="9"/>
  <c r="D49" i="9"/>
  <c r="D125" i="25"/>
  <c r="E125" i="25"/>
  <c r="G124" i="25"/>
  <c r="D120" i="30"/>
  <c r="E120" i="30"/>
  <c r="G119" i="30"/>
  <c r="G117" i="37"/>
  <c r="D118" i="37"/>
  <c r="E118" i="37"/>
  <c r="J123" i="25"/>
  <c r="E126" i="3"/>
  <c r="G125" i="3"/>
  <c r="D126" i="3"/>
  <c r="H117" i="38"/>
  <c r="I117" i="38"/>
  <c r="G125" i="4"/>
  <c r="D126" i="4"/>
  <c r="E126" i="4"/>
  <c r="G120" i="28"/>
  <c r="E121" i="28"/>
  <c r="D121" i="28"/>
  <c r="J116" i="40"/>
  <c r="J116" i="45"/>
  <c r="J127" i="10"/>
  <c r="D118" i="40"/>
  <c r="G117" i="40"/>
  <c r="E118" i="40"/>
  <c r="D125" i="22"/>
  <c r="G124" i="22"/>
  <c r="E125" i="22"/>
  <c r="G126" i="8"/>
  <c r="E127" i="8"/>
  <c r="D127" i="8"/>
  <c r="E128" i="9"/>
  <c r="D128" i="9"/>
  <c r="G127" i="9"/>
  <c r="J120" i="27"/>
  <c r="E124" i="23"/>
  <c r="G123" i="23"/>
  <c r="D124" i="23"/>
  <c r="D122" i="27"/>
  <c r="G121" i="27"/>
  <c r="E122" i="27"/>
  <c r="G128" i="7"/>
  <c r="E129" i="7"/>
  <c r="D129" i="7"/>
  <c r="J126" i="11"/>
  <c r="J124" i="4"/>
  <c r="E127" i="6"/>
  <c r="D127" i="6"/>
  <c r="G126" i="6"/>
  <c r="E128" i="11"/>
  <c r="G127" i="11"/>
  <c r="D128" i="11"/>
  <c r="B118" i="38"/>
  <c r="F118" i="38"/>
  <c r="J124" i="5"/>
  <c r="D129" i="10"/>
  <c r="E129" i="10"/>
  <c r="G128" i="10"/>
  <c r="G125" i="5"/>
  <c r="E126" i="5"/>
  <c r="D126" i="5"/>
  <c r="E123" i="24"/>
  <c r="D123" i="24"/>
  <c r="G122" i="24"/>
  <c r="B122" i="29"/>
  <c r="F122" i="29"/>
  <c r="I121" i="29"/>
  <c r="H121" i="29"/>
  <c r="F47" i="8"/>
  <c r="H47" i="8" s="1"/>
  <c r="B47" i="8"/>
  <c r="J116" i="41"/>
  <c r="B40" i="30"/>
  <c r="F40" i="30"/>
  <c r="G40" i="30" s="1"/>
  <c r="I40" i="28"/>
  <c r="F39" i="39"/>
  <c r="G39" i="39" s="1"/>
  <c r="B39" i="39"/>
  <c r="I43" i="23"/>
  <c r="F44" i="23"/>
  <c r="G44" i="23" s="1"/>
  <c r="B44" i="23"/>
  <c r="I36" i="45"/>
  <c r="G117" i="45"/>
  <c r="D118" i="45"/>
  <c r="E118" i="45" s="1"/>
  <c r="D43" i="29"/>
  <c r="E43" i="29"/>
  <c r="B38" i="37"/>
  <c r="F38" i="37"/>
  <c r="G38" i="37" s="1"/>
  <c r="I48" i="10"/>
  <c r="D41" i="31"/>
  <c r="E41" i="31"/>
  <c r="D118" i="43"/>
  <c r="G117" i="43"/>
  <c r="E118" i="43"/>
  <c r="I46" i="5"/>
  <c r="B47" i="4"/>
  <c r="F47" i="4"/>
  <c r="G47" i="4" s="1"/>
  <c r="F37" i="45"/>
  <c r="G37" i="45" s="1"/>
  <c r="B37" i="45"/>
  <c r="J116" i="43"/>
  <c r="F39" i="13"/>
  <c r="G39" i="13" s="1"/>
  <c r="B39" i="13"/>
  <c r="B41" i="28"/>
  <c r="F41" i="28"/>
  <c r="H41" i="28" s="1"/>
  <c r="F43" i="24"/>
  <c r="B43" i="24"/>
  <c r="J120" i="31"/>
  <c r="B47" i="3"/>
  <c r="F47" i="3"/>
  <c r="H47" i="3" s="1"/>
  <c r="F118" i="39"/>
  <c r="B118" i="39"/>
  <c r="D118" i="41"/>
  <c r="G117" i="41"/>
  <c r="E118" i="41"/>
  <c r="B47" i="5"/>
  <c r="F47" i="5"/>
  <c r="H47" i="5" s="1"/>
  <c r="B38" i="38"/>
  <c r="F38" i="38"/>
  <c r="H38" i="38" s="1"/>
  <c r="B37" i="42"/>
  <c r="F37" i="42"/>
  <c r="H37" i="42" s="1"/>
  <c r="B50" i="7"/>
  <c r="F50" i="7"/>
  <c r="H50" i="7" s="1"/>
  <c r="B45" i="25"/>
  <c r="F45" i="25"/>
  <c r="H45" i="25" s="1"/>
  <c r="F45" i="22"/>
  <c r="G45" i="22" s="1"/>
  <c r="B45" i="22"/>
  <c r="F38" i="43"/>
  <c r="G38" i="43" s="1"/>
  <c r="B38" i="43"/>
  <c r="B49" i="10"/>
  <c r="F49" i="10"/>
  <c r="G49" i="10" s="1"/>
  <c r="F38" i="41"/>
  <c r="B38" i="41"/>
  <c r="F49" i="11"/>
  <c r="H49" i="11" s="1"/>
  <c r="B49" i="11"/>
  <c r="E122" i="31"/>
  <c r="D122" i="31"/>
  <c r="G121" i="31"/>
  <c r="I117" i="39"/>
  <c r="H117" i="39"/>
  <c r="F38" i="40"/>
  <c r="G38" i="40" s="1"/>
  <c r="B38" i="40"/>
  <c r="H37" i="46" l="1"/>
  <c r="I37" i="46"/>
  <c r="E38" i="46"/>
  <c r="D38" i="46"/>
  <c r="G118" i="46"/>
  <c r="D119" i="46"/>
  <c r="H44" i="23"/>
  <c r="I44" i="23" s="1"/>
  <c r="E119" i="13"/>
  <c r="F119" i="13" s="1"/>
  <c r="B119" i="13"/>
  <c r="H118" i="13"/>
  <c r="I118" i="13"/>
  <c r="J117" i="42"/>
  <c r="G38" i="38"/>
  <c r="I38" i="38" s="1"/>
  <c r="F118" i="44"/>
  <c r="D119" i="44" s="1"/>
  <c r="D119" i="42"/>
  <c r="G118" i="42"/>
  <c r="J117" i="38"/>
  <c r="I117" i="44"/>
  <c r="H117" i="44"/>
  <c r="G49" i="11"/>
  <c r="I49" i="11" s="1"/>
  <c r="G45" i="25"/>
  <c r="I45" i="25" s="1"/>
  <c r="H49" i="10"/>
  <c r="I49" i="10" s="1"/>
  <c r="H38" i="43"/>
  <c r="I38" i="43" s="1"/>
  <c r="H45" i="22"/>
  <c r="I45" i="22" s="1"/>
  <c r="G47" i="6"/>
  <c r="E48" i="6"/>
  <c r="D48" i="6"/>
  <c r="F42" i="27"/>
  <c r="G42" i="27" s="1"/>
  <c r="B42" i="27"/>
  <c r="H38" i="40"/>
  <c r="I38" i="40" s="1"/>
  <c r="G50" i="7"/>
  <c r="I50" i="7" s="1"/>
  <c r="H39" i="13"/>
  <c r="I39" i="13" s="1"/>
  <c r="H38" i="37"/>
  <c r="I38" i="37" s="1"/>
  <c r="H40" i="30"/>
  <c r="I40" i="30" s="1"/>
  <c r="G47" i="8"/>
  <c r="I47" i="8" s="1"/>
  <c r="B49" i="9"/>
  <c r="F49" i="9"/>
  <c r="H49" i="9" s="1"/>
  <c r="G41" i="28"/>
  <c r="I41" i="28" s="1"/>
  <c r="E38" i="44"/>
  <c r="D38" i="44"/>
  <c r="G47" i="3"/>
  <c r="I47" i="3" s="1"/>
  <c r="H37" i="45"/>
  <c r="I37" i="45" s="1"/>
  <c r="H47" i="6"/>
  <c r="H37" i="44"/>
  <c r="I37" i="44" s="1"/>
  <c r="I128" i="10"/>
  <c r="J128" i="10" s="1"/>
  <c r="H128" i="10"/>
  <c r="D119" i="38"/>
  <c r="G118" i="38"/>
  <c r="E119" i="38"/>
  <c r="H128" i="7"/>
  <c r="I128" i="7"/>
  <c r="J128" i="7" s="1"/>
  <c r="B124" i="23"/>
  <c r="F124" i="23"/>
  <c r="I127" i="9"/>
  <c r="H127" i="9"/>
  <c r="B125" i="22"/>
  <c r="F125" i="22"/>
  <c r="I125" i="4"/>
  <c r="H125" i="4"/>
  <c r="H125" i="3"/>
  <c r="I125" i="3"/>
  <c r="B118" i="37"/>
  <c r="F118" i="37"/>
  <c r="B120" i="30"/>
  <c r="F120" i="30"/>
  <c r="F126" i="5"/>
  <c r="B126" i="5"/>
  <c r="I126" i="6"/>
  <c r="H126" i="6"/>
  <c r="H123" i="23"/>
  <c r="I123" i="23"/>
  <c r="B128" i="9"/>
  <c r="F128" i="9"/>
  <c r="H126" i="8"/>
  <c r="I126" i="8"/>
  <c r="J126" i="8" s="1"/>
  <c r="H120" i="28"/>
  <c r="I120" i="28"/>
  <c r="H117" i="37"/>
  <c r="I117" i="37"/>
  <c r="I124" i="25"/>
  <c r="H124" i="25"/>
  <c r="H122" i="24"/>
  <c r="I122" i="24"/>
  <c r="J122" i="24" s="1"/>
  <c r="B129" i="10"/>
  <c r="F129" i="10"/>
  <c r="B128" i="11"/>
  <c r="F128" i="11"/>
  <c r="F127" i="6"/>
  <c r="B127" i="6"/>
  <c r="F129" i="7"/>
  <c r="B129" i="7"/>
  <c r="H121" i="27"/>
  <c r="I121" i="27"/>
  <c r="H117" i="40"/>
  <c r="I117" i="40"/>
  <c r="I119" i="30"/>
  <c r="H119" i="30"/>
  <c r="F123" i="24"/>
  <c r="B123" i="24"/>
  <c r="I125" i="5"/>
  <c r="H125" i="5"/>
  <c r="I127" i="11"/>
  <c r="H127" i="11"/>
  <c r="F122" i="27"/>
  <c r="B122" i="27"/>
  <c r="F127" i="8"/>
  <c r="B127" i="8"/>
  <c r="H124" i="22"/>
  <c r="I124" i="22"/>
  <c r="B118" i="40"/>
  <c r="F118" i="40"/>
  <c r="B121" i="28"/>
  <c r="F121" i="28"/>
  <c r="B126" i="4"/>
  <c r="F126" i="4"/>
  <c r="F126" i="3"/>
  <c r="B126" i="3"/>
  <c r="F125" i="25"/>
  <c r="B125" i="25"/>
  <c r="J121" i="29"/>
  <c r="E123" i="29"/>
  <c r="D123" i="29"/>
  <c r="G122" i="29"/>
  <c r="J117" i="39"/>
  <c r="D39" i="41"/>
  <c r="E39" i="41"/>
  <c r="D48" i="5"/>
  <c r="E48" i="5"/>
  <c r="B118" i="45"/>
  <c r="F118" i="45"/>
  <c r="H121" i="31"/>
  <c r="I121" i="31"/>
  <c r="D40" i="13"/>
  <c r="E40" i="13" s="1"/>
  <c r="H117" i="43"/>
  <c r="I117" i="43"/>
  <c r="B43" i="29"/>
  <c r="F43" i="29"/>
  <c r="H43" i="29" s="1"/>
  <c r="D40" i="39"/>
  <c r="E40" i="39"/>
  <c r="D39" i="40"/>
  <c r="E39" i="40"/>
  <c r="F122" i="31"/>
  <c r="B122" i="31"/>
  <c r="D50" i="11"/>
  <c r="E50" i="11"/>
  <c r="D46" i="22"/>
  <c r="E46" i="22"/>
  <c r="D51" i="7"/>
  <c r="E51" i="7"/>
  <c r="E39" i="38"/>
  <c r="D39" i="38"/>
  <c r="I117" i="41"/>
  <c r="H117" i="41"/>
  <c r="F118" i="43"/>
  <c r="B118" i="43"/>
  <c r="H39" i="39"/>
  <c r="I39" i="39" s="1"/>
  <c r="D41" i="30"/>
  <c r="E41" i="30"/>
  <c r="D48" i="8"/>
  <c r="E48" i="8"/>
  <c r="D44" i="24"/>
  <c r="E44" i="24"/>
  <c r="D48" i="4"/>
  <c r="E48" i="4"/>
  <c r="G43" i="24"/>
  <c r="B118" i="41"/>
  <c r="F118" i="41"/>
  <c r="B119" i="44"/>
  <c r="H47" i="4"/>
  <c r="I47" i="4" s="1"/>
  <c r="G38" i="41"/>
  <c r="D48" i="3"/>
  <c r="E48" i="3"/>
  <c r="D42" i="28"/>
  <c r="E42" i="28"/>
  <c r="H38" i="41"/>
  <c r="D46" i="25"/>
  <c r="E46" i="25"/>
  <c r="G47" i="5"/>
  <c r="I47" i="5" s="1"/>
  <c r="G118" i="39"/>
  <c r="D119" i="39"/>
  <c r="E119" i="39"/>
  <c r="H43" i="24"/>
  <c r="D38" i="45"/>
  <c r="E38" i="45"/>
  <c r="B41" i="31"/>
  <c r="F41" i="31"/>
  <c r="H41" i="31" s="1"/>
  <c r="E39" i="37"/>
  <c r="D39" i="37"/>
  <c r="E45" i="23"/>
  <c r="D45" i="23"/>
  <c r="E119" i="44"/>
  <c r="F119" i="44" s="1"/>
  <c r="D38" i="42"/>
  <c r="E38" i="42"/>
  <c r="D50" i="10"/>
  <c r="E50" i="10"/>
  <c r="D39" i="43"/>
  <c r="E39" i="43"/>
  <c r="G37" i="42"/>
  <c r="I37" i="42" s="1"/>
  <c r="I117" i="45"/>
  <c r="H117" i="45"/>
  <c r="F38" i="46" l="1"/>
  <c r="B38" i="46"/>
  <c r="J118" i="13"/>
  <c r="E119" i="46"/>
  <c r="F119" i="46" s="1"/>
  <c r="B119" i="46"/>
  <c r="G118" i="44"/>
  <c r="H118" i="44" s="1"/>
  <c r="H118" i="46"/>
  <c r="I118" i="46"/>
  <c r="I47" i="6"/>
  <c r="J124" i="22"/>
  <c r="D120" i="13"/>
  <c r="G119" i="13"/>
  <c r="J119" i="30"/>
  <c r="J124" i="25"/>
  <c r="J123" i="23"/>
  <c r="J126" i="6"/>
  <c r="J125" i="5"/>
  <c r="J117" i="44"/>
  <c r="I118" i="42"/>
  <c r="H118" i="42"/>
  <c r="H42" i="27"/>
  <c r="I42" i="27" s="1"/>
  <c r="E119" i="42"/>
  <c r="F119" i="42" s="1"/>
  <c r="B119" i="42"/>
  <c r="J117" i="37"/>
  <c r="B38" i="44"/>
  <c r="F38" i="44"/>
  <c r="H38" i="44" s="1"/>
  <c r="E43" i="27"/>
  <c r="D43" i="27"/>
  <c r="D50" i="9"/>
  <c r="E50" i="9"/>
  <c r="B48" i="6"/>
  <c r="F48" i="6"/>
  <c r="G49" i="9"/>
  <c r="I49" i="9" s="1"/>
  <c r="E127" i="4"/>
  <c r="G126" i="4"/>
  <c r="D127" i="4"/>
  <c r="E119" i="40"/>
  <c r="D119" i="40"/>
  <c r="G118" i="40"/>
  <c r="J117" i="40"/>
  <c r="E129" i="11"/>
  <c r="D129" i="11"/>
  <c r="G128" i="11"/>
  <c r="I118" i="38"/>
  <c r="H118" i="38"/>
  <c r="J117" i="41"/>
  <c r="J121" i="31"/>
  <c r="G125" i="25"/>
  <c r="D126" i="25"/>
  <c r="E126" i="25"/>
  <c r="G127" i="8"/>
  <c r="D128" i="8"/>
  <c r="E128" i="8"/>
  <c r="J127" i="11"/>
  <c r="D124" i="24"/>
  <c r="E124" i="24"/>
  <c r="G123" i="24"/>
  <c r="D130" i="7"/>
  <c r="G129" i="7"/>
  <c r="E130" i="7"/>
  <c r="D119" i="37"/>
  <c r="G118" i="37"/>
  <c r="E119" i="37"/>
  <c r="B119" i="38"/>
  <c r="F119" i="38"/>
  <c r="E122" i="28"/>
  <c r="D122" i="28"/>
  <c r="G121" i="28"/>
  <c r="J121" i="27"/>
  <c r="E130" i="10"/>
  <c r="G129" i="10"/>
  <c r="D130" i="10"/>
  <c r="D127" i="5"/>
  <c r="G126" i="5"/>
  <c r="E127" i="5"/>
  <c r="J125" i="4"/>
  <c r="J127" i="9"/>
  <c r="E127" i="3"/>
  <c r="D127" i="3"/>
  <c r="G126" i="3"/>
  <c r="E123" i="27"/>
  <c r="D123" i="27"/>
  <c r="G122" i="27"/>
  <c r="E128" i="6"/>
  <c r="G127" i="6"/>
  <c r="D128" i="6"/>
  <c r="J120" i="28"/>
  <c r="G128" i="9"/>
  <c r="E129" i="9"/>
  <c r="D129" i="9"/>
  <c r="E121" i="30"/>
  <c r="G120" i="30"/>
  <c r="D121" i="30"/>
  <c r="J125" i="3"/>
  <c r="G125" i="22"/>
  <c r="E126" i="22"/>
  <c r="D126" i="22"/>
  <c r="D125" i="23"/>
  <c r="G124" i="23"/>
  <c r="E125" i="23"/>
  <c r="I122" i="29"/>
  <c r="H122" i="29"/>
  <c r="J117" i="45"/>
  <c r="B123" i="29"/>
  <c r="F123" i="29"/>
  <c r="J117" i="43"/>
  <c r="D120" i="44"/>
  <c r="E120" i="44" s="1"/>
  <c r="G119" i="44"/>
  <c r="F39" i="43"/>
  <c r="G39" i="43" s="1"/>
  <c r="B39" i="43"/>
  <c r="G118" i="41"/>
  <c r="D119" i="41"/>
  <c r="E119" i="41"/>
  <c r="B50" i="10"/>
  <c r="F50" i="10"/>
  <c r="G50" i="10" s="1"/>
  <c r="I38" i="41"/>
  <c r="B51" i="7"/>
  <c r="F51" i="7"/>
  <c r="G51" i="7" s="1"/>
  <c r="B39" i="40"/>
  <c r="F39" i="40"/>
  <c r="G39" i="40" s="1"/>
  <c r="F41" i="30"/>
  <c r="H41" i="30" s="1"/>
  <c r="B41" i="30"/>
  <c r="G118" i="45"/>
  <c r="D119" i="45"/>
  <c r="E119" i="45" s="1"/>
  <c r="G41" i="31"/>
  <c r="I41" i="31" s="1"/>
  <c r="F119" i="39"/>
  <c r="B119" i="39"/>
  <c r="F48" i="4"/>
  <c r="H48" i="4" s="1"/>
  <c r="B48" i="4"/>
  <c r="F38" i="42"/>
  <c r="B38" i="42"/>
  <c r="I118" i="39"/>
  <c r="H118" i="39"/>
  <c r="B48" i="8"/>
  <c r="F48" i="8"/>
  <c r="F39" i="38"/>
  <c r="G39" i="38" s="1"/>
  <c r="B39" i="38"/>
  <c r="F46" i="22"/>
  <c r="G46" i="22" s="1"/>
  <c r="B46" i="22"/>
  <c r="F50" i="11"/>
  <c r="G50" i="11" s="1"/>
  <c r="B50" i="11"/>
  <c r="B39" i="37"/>
  <c r="F39" i="37"/>
  <c r="H39" i="37" s="1"/>
  <c r="B38" i="45"/>
  <c r="F38" i="45"/>
  <c r="H38" i="45" s="1"/>
  <c r="B48" i="3"/>
  <c r="F48" i="3"/>
  <c r="H48" i="3" s="1"/>
  <c r="G118" i="43"/>
  <c r="D119" i="43"/>
  <c r="E119" i="43"/>
  <c r="F48" i="5"/>
  <c r="G48" i="5" s="1"/>
  <c r="B48" i="5"/>
  <c r="D42" i="31"/>
  <c r="E42" i="31"/>
  <c r="B40" i="39"/>
  <c r="F40" i="39"/>
  <c r="G40" i="39" s="1"/>
  <c r="F40" i="13"/>
  <c r="G40" i="13" s="1"/>
  <c r="B40" i="13"/>
  <c r="B39" i="41"/>
  <c r="F39" i="41"/>
  <c r="H39" i="41" s="1"/>
  <c r="F44" i="24"/>
  <c r="H44" i="24" s="1"/>
  <c r="B44" i="24"/>
  <c r="E123" i="31"/>
  <c r="D123" i="31"/>
  <c r="G122" i="31"/>
  <c r="D44" i="29"/>
  <c r="E44" i="29"/>
  <c r="B45" i="23"/>
  <c r="F45" i="23"/>
  <c r="H45" i="23" s="1"/>
  <c r="I43" i="24"/>
  <c r="B46" i="25"/>
  <c r="F46" i="25"/>
  <c r="H46" i="25" s="1"/>
  <c r="B42" i="28"/>
  <c r="F42" i="28"/>
  <c r="H42" i="28" s="1"/>
  <c r="G43" i="29"/>
  <c r="I43" i="29" s="1"/>
  <c r="I118" i="44" l="1"/>
  <c r="J118" i="44" s="1"/>
  <c r="G38" i="46"/>
  <c r="D39" i="46"/>
  <c r="E39" i="46"/>
  <c r="H38" i="46"/>
  <c r="D120" i="46"/>
  <c r="G119" i="46"/>
  <c r="J118" i="46"/>
  <c r="I119" i="13"/>
  <c r="H119" i="13"/>
  <c r="E120" i="13"/>
  <c r="F120" i="13" s="1"/>
  <c r="B120" i="13"/>
  <c r="J118" i="42"/>
  <c r="H50" i="10"/>
  <c r="G38" i="44"/>
  <c r="I38" i="44" s="1"/>
  <c r="G119" i="42"/>
  <c r="D120" i="42"/>
  <c r="G44" i="24"/>
  <c r="I44" i="24" s="1"/>
  <c r="G39" i="41"/>
  <c r="I39" i="41" s="1"/>
  <c r="H46" i="22"/>
  <c r="I46" i="22" s="1"/>
  <c r="G42" i="28"/>
  <c r="I42" i="28" s="1"/>
  <c r="G38" i="45"/>
  <c r="I38" i="45" s="1"/>
  <c r="G39" i="37"/>
  <c r="I39" i="37" s="1"/>
  <c r="H39" i="40"/>
  <c r="I39" i="40" s="1"/>
  <c r="H39" i="43"/>
  <c r="I39" i="43" s="1"/>
  <c r="D49" i="6"/>
  <c r="E49" i="6"/>
  <c r="F43" i="27"/>
  <c r="H43" i="27" s="1"/>
  <c r="B43" i="27"/>
  <c r="H40" i="13"/>
  <c r="I40" i="13" s="1"/>
  <c r="G48" i="3"/>
  <c r="I48" i="3" s="1"/>
  <c r="G41" i="30"/>
  <c r="I41" i="30" s="1"/>
  <c r="J118" i="38"/>
  <c r="H48" i="6"/>
  <c r="G48" i="6"/>
  <c r="B50" i="9"/>
  <c r="F50" i="9"/>
  <c r="H50" i="9" s="1"/>
  <c r="E39" i="44"/>
  <c r="D39" i="44"/>
  <c r="J122" i="29"/>
  <c r="F126" i="22"/>
  <c r="B126" i="22"/>
  <c r="B121" i="30"/>
  <c r="F121" i="30"/>
  <c r="I127" i="6"/>
  <c r="H127" i="6"/>
  <c r="B127" i="5"/>
  <c r="F127" i="5"/>
  <c r="E120" i="38"/>
  <c r="D120" i="38"/>
  <c r="G119" i="38"/>
  <c r="B119" i="37"/>
  <c r="F119" i="37"/>
  <c r="I123" i="24"/>
  <c r="H123" i="24"/>
  <c r="B126" i="25"/>
  <c r="F126" i="25"/>
  <c r="I120" i="30"/>
  <c r="H120" i="30"/>
  <c r="I128" i="9"/>
  <c r="H128" i="9"/>
  <c r="I126" i="3"/>
  <c r="H126" i="3"/>
  <c r="F130" i="10"/>
  <c r="B130" i="10"/>
  <c r="H121" i="28"/>
  <c r="I121" i="28"/>
  <c r="F128" i="8"/>
  <c r="B128" i="8"/>
  <c r="H125" i="25"/>
  <c r="I125" i="25"/>
  <c r="F127" i="4"/>
  <c r="B127" i="4"/>
  <c r="I124" i="23"/>
  <c r="H124" i="23"/>
  <c r="I125" i="22"/>
  <c r="H125" i="22"/>
  <c r="H122" i="27"/>
  <c r="I122" i="27"/>
  <c r="B127" i="3"/>
  <c r="F127" i="3"/>
  <c r="I129" i="10"/>
  <c r="H129" i="10"/>
  <c r="F122" i="28"/>
  <c r="B122" i="28"/>
  <c r="H129" i="7"/>
  <c r="I129" i="7"/>
  <c r="F124" i="24"/>
  <c r="B124" i="24"/>
  <c r="I127" i="8"/>
  <c r="H127" i="8"/>
  <c r="H128" i="11"/>
  <c r="I128" i="11"/>
  <c r="I118" i="40"/>
  <c r="H118" i="40"/>
  <c r="H126" i="4"/>
  <c r="I126" i="4"/>
  <c r="F125" i="23"/>
  <c r="B125" i="23"/>
  <c r="B129" i="9"/>
  <c r="F129" i="9"/>
  <c r="B128" i="6"/>
  <c r="F128" i="6"/>
  <c r="F123" i="27"/>
  <c r="B123" i="27"/>
  <c r="I126" i="5"/>
  <c r="H126" i="5"/>
  <c r="I118" i="37"/>
  <c r="H118" i="37"/>
  <c r="F130" i="7"/>
  <c r="B130" i="7"/>
  <c r="B129" i="11"/>
  <c r="F129" i="11"/>
  <c r="F119" i="40"/>
  <c r="B119" i="40"/>
  <c r="E124" i="29"/>
  <c r="D124" i="29"/>
  <c r="G123" i="29"/>
  <c r="I122" i="31"/>
  <c r="H122" i="31"/>
  <c r="H50" i="11"/>
  <c r="I50" i="11" s="1"/>
  <c r="D49" i="5"/>
  <c r="E49" i="5"/>
  <c r="B42" i="31"/>
  <c r="F42" i="31"/>
  <c r="H42" i="31" s="1"/>
  <c r="D49" i="3"/>
  <c r="E49" i="3"/>
  <c r="D49" i="4"/>
  <c r="E49" i="4"/>
  <c r="I50" i="10"/>
  <c r="D41" i="39"/>
  <c r="E41" i="39"/>
  <c r="D43" i="28"/>
  <c r="E43" i="28"/>
  <c r="H48" i="5"/>
  <c r="I48" i="5" s="1"/>
  <c r="I73" i="5" s="1"/>
  <c r="E40" i="38"/>
  <c r="D40" i="38"/>
  <c r="D42" i="30"/>
  <c r="E42" i="30"/>
  <c r="D51" i="10"/>
  <c r="E51" i="10"/>
  <c r="D49" i="8"/>
  <c r="E49" i="8"/>
  <c r="E39" i="42"/>
  <c r="D39" i="42"/>
  <c r="D45" i="24"/>
  <c r="E45" i="24"/>
  <c r="H48" i="8"/>
  <c r="H38" i="42"/>
  <c r="D52" i="7"/>
  <c r="E52" i="7"/>
  <c r="D46" i="23"/>
  <c r="E46" i="23"/>
  <c r="D51" i="11"/>
  <c r="E51" i="11"/>
  <c r="H119" i="44"/>
  <c r="I119" i="44"/>
  <c r="G38" i="42"/>
  <c r="F119" i="45"/>
  <c r="B119" i="45"/>
  <c r="G45" i="23"/>
  <c r="I45" i="23" s="1"/>
  <c r="F123" i="31"/>
  <c r="B123" i="31"/>
  <c r="D41" i="13"/>
  <c r="E41" i="13" s="1"/>
  <c r="I118" i="43"/>
  <c r="H118" i="43"/>
  <c r="D39" i="45"/>
  <c r="E39" i="45"/>
  <c r="D47" i="22"/>
  <c r="E47" i="22"/>
  <c r="G48" i="8"/>
  <c r="J118" i="39"/>
  <c r="I118" i="45"/>
  <c r="H118" i="45"/>
  <c r="H51" i="7"/>
  <c r="I51" i="7" s="1"/>
  <c r="H118" i="41"/>
  <c r="I118" i="41"/>
  <c r="B120" i="44"/>
  <c r="F120" i="44"/>
  <c r="B44" i="29"/>
  <c r="F44" i="29"/>
  <c r="H44" i="29" s="1"/>
  <c r="B119" i="43"/>
  <c r="F119" i="43"/>
  <c r="E120" i="39"/>
  <c r="G119" i="39"/>
  <c r="D120" i="39"/>
  <c r="B119" i="41"/>
  <c r="F119" i="41"/>
  <c r="E47" i="25"/>
  <c r="D47" i="25"/>
  <c r="G46" i="25"/>
  <c r="I46" i="25" s="1"/>
  <c r="D40" i="41"/>
  <c r="E40" i="41"/>
  <c r="H40" i="39"/>
  <c r="I40" i="39" s="1"/>
  <c r="D40" i="37"/>
  <c r="E40" i="37"/>
  <c r="H39" i="38"/>
  <c r="I39" i="38" s="1"/>
  <c r="G48" i="4"/>
  <c r="I48" i="4" s="1"/>
  <c r="D40" i="40"/>
  <c r="E40" i="40"/>
  <c r="D40" i="43"/>
  <c r="E40" i="43"/>
  <c r="I38" i="46" l="1"/>
  <c r="B39" i="46"/>
  <c r="F39" i="46"/>
  <c r="G39" i="46"/>
  <c r="H119" i="46"/>
  <c r="I119" i="46"/>
  <c r="B120" i="46"/>
  <c r="E120" i="46"/>
  <c r="F120" i="46" s="1"/>
  <c r="G120" i="13"/>
  <c r="D121" i="13"/>
  <c r="J119" i="13"/>
  <c r="J120" i="30"/>
  <c r="J123" i="24"/>
  <c r="J124" i="23"/>
  <c r="J128" i="11"/>
  <c r="J129" i="10"/>
  <c r="J127" i="8"/>
  <c r="J126" i="5"/>
  <c r="J126" i="4"/>
  <c r="J126" i="3"/>
  <c r="E120" i="42"/>
  <c r="F120" i="42" s="1"/>
  <c r="B120" i="42"/>
  <c r="H119" i="42"/>
  <c r="I119" i="42"/>
  <c r="G42" i="31"/>
  <c r="J118" i="40"/>
  <c r="B49" i="6"/>
  <c r="F49" i="6"/>
  <c r="G49" i="6" s="1"/>
  <c r="I42" i="31"/>
  <c r="G50" i="9"/>
  <c r="I50" i="9" s="1"/>
  <c r="E51" i="9"/>
  <c r="D51" i="9"/>
  <c r="I48" i="6"/>
  <c r="E44" i="27"/>
  <c r="D44" i="27"/>
  <c r="B39" i="44"/>
  <c r="F39" i="44"/>
  <c r="G43" i="27"/>
  <c r="I43" i="27" s="1"/>
  <c r="G119" i="40"/>
  <c r="D120" i="40"/>
  <c r="E120" i="40"/>
  <c r="G130" i="7"/>
  <c r="D131" i="7"/>
  <c r="E131" i="7"/>
  <c r="E126" i="23"/>
  <c r="G125" i="23"/>
  <c r="D126" i="23"/>
  <c r="F120" i="38"/>
  <c r="B120" i="38"/>
  <c r="D130" i="11"/>
  <c r="E130" i="11"/>
  <c r="G129" i="11"/>
  <c r="G129" i="9"/>
  <c r="E130" i="9"/>
  <c r="D130" i="9"/>
  <c r="G127" i="3"/>
  <c r="D128" i="3"/>
  <c r="E128" i="3"/>
  <c r="E127" i="25"/>
  <c r="G126" i="25"/>
  <c r="D127" i="25"/>
  <c r="G119" i="37"/>
  <c r="D120" i="37"/>
  <c r="E120" i="37"/>
  <c r="J127" i="6"/>
  <c r="D127" i="22"/>
  <c r="E127" i="22"/>
  <c r="G126" i="22"/>
  <c r="J118" i="37"/>
  <c r="E124" i="27"/>
  <c r="D124" i="27"/>
  <c r="G123" i="27"/>
  <c r="D125" i="24"/>
  <c r="E125" i="24"/>
  <c r="G124" i="24"/>
  <c r="D123" i="28"/>
  <c r="G122" i="28"/>
  <c r="E123" i="28"/>
  <c r="J125" i="22"/>
  <c r="E128" i="4"/>
  <c r="G127" i="4"/>
  <c r="D128" i="4"/>
  <c r="E129" i="8"/>
  <c r="G128" i="8"/>
  <c r="D129" i="8"/>
  <c r="D131" i="10"/>
  <c r="E131" i="10"/>
  <c r="G130" i="10"/>
  <c r="J128" i="9"/>
  <c r="E128" i="5"/>
  <c r="D128" i="5"/>
  <c r="G127" i="5"/>
  <c r="E122" i="30"/>
  <c r="D122" i="30"/>
  <c r="G121" i="30"/>
  <c r="E129" i="6"/>
  <c r="G128" i="6"/>
  <c r="D129" i="6"/>
  <c r="J129" i="7"/>
  <c r="J122" i="27"/>
  <c r="J125" i="25"/>
  <c r="J121" i="28"/>
  <c r="I119" i="38"/>
  <c r="H119" i="38"/>
  <c r="H123" i="29"/>
  <c r="I123" i="29"/>
  <c r="F124" i="29"/>
  <c r="B124" i="29"/>
  <c r="D121" i="44"/>
  <c r="E121" i="44" s="1"/>
  <c r="G120" i="44"/>
  <c r="F47" i="25"/>
  <c r="H47" i="25" s="1"/>
  <c r="B47" i="25"/>
  <c r="J118" i="45"/>
  <c r="J118" i="43"/>
  <c r="B46" i="23"/>
  <c r="F46" i="23"/>
  <c r="G46" i="23" s="1"/>
  <c r="F51" i="10"/>
  <c r="G51" i="10" s="1"/>
  <c r="B51" i="10"/>
  <c r="I48" i="8"/>
  <c r="H119" i="39"/>
  <c r="I119" i="39"/>
  <c r="F40" i="43"/>
  <c r="G40" i="43" s="1"/>
  <c r="B40" i="43"/>
  <c r="F40" i="37"/>
  <c r="G40" i="37" s="1"/>
  <c r="B40" i="37"/>
  <c r="G119" i="43"/>
  <c r="D120" i="43"/>
  <c r="E120" i="43"/>
  <c r="D120" i="45"/>
  <c r="E120" i="45" s="1"/>
  <c r="G119" i="45"/>
  <c r="F49" i="8"/>
  <c r="B49" i="8"/>
  <c r="B40" i="41"/>
  <c r="F40" i="41"/>
  <c r="H40" i="41" s="1"/>
  <c r="G119" i="41"/>
  <c r="D120" i="41"/>
  <c r="E120" i="41"/>
  <c r="J118" i="41"/>
  <c r="I38" i="42"/>
  <c r="D43" i="31"/>
  <c r="E43" i="31"/>
  <c r="F49" i="5"/>
  <c r="B49" i="5"/>
  <c r="F40" i="40"/>
  <c r="G40" i="40" s="1"/>
  <c r="B40" i="40"/>
  <c r="J119" i="44"/>
  <c r="B42" i="30"/>
  <c r="F42" i="30"/>
  <c r="G42" i="30" s="1"/>
  <c r="D45" i="29"/>
  <c r="E45" i="29"/>
  <c r="B49" i="4"/>
  <c r="F49" i="4"/>
  <c r="G49" i="4" s="1"/>
  <c r="B45" i="24"/>
  <c r="F45" i="24"/>
  <c r="G45" i="24" s="1"/>
  <c r="F120" i="39"/>
  <c r="B120" i="39"/>
  <c r="G44" i="29"/>
  <c r="I44" i="29" s="1"/>
  <c r="B39" i="45"/>
  <c r="F39" i="45"/>
  <c r="H39" i="45" s="1"/>
  <c r="D124" i="31"/>
  <c r="G123" i="31"/>
  <c r="E124" i="31"/>
  <c r="B51" i="11"/>
  <c r="F51" i="11"/>
  <c r="B52" i="7"/>
  <c r="F52" i="7"/>
  <c r="F39" i="42"/>
  <c r="G39" i="42" s="1"/>
  <c r="B39" i="42"/>
  <c r="B40" i="38"/>
  <c r="F40" i="38"/>
  <c r="H40" i="38" s="1"/>
  <c r="B43" i="28"/>
  <c r="F43" i="28"/>
  <c r="G43" i="28" s="1"/>
  <c r="F41" i="39"/>
  <c r="G41" i="39" s="1"/>
  <c r="B41" i="39"/>
  <c r="J122" i="31"/>
  <c r="B41" i="13"/>
  <c r="F41" i="13"/>
  <c r="H41" i="13" s="1"/>
  <c r="F47" i="22"/>
  <c r="G47" i="22" s="1"/>
  <c r="B47" i="22"/>
  <c r="F49" i="3"/>
  <c r="G49" i="3" s="1"/>
  <c r="B49" i="3"/>
  <c r="J119" i="46" l="1"/>
  <c r="D40" i="46"/>
  <c r="E40" i="46"/>
  <c r="H39" i="46"/>
  <c r="I39" i="46" s="1"/>
  <c r="G120" i="46"/>
  <c r="D121" i="46"/>
  <c r="H45" i="24"/>
  <c r="I45" i="24" s="1"/>
  <c r="E121" i="13"/>
  <c r="F121" i="13" s="1"/>
  <c r="B121" i="13"/>
  <c r="I120" i="13"/>
  <c r="H120" i="13"/>
  <c r="G47" i="25"/>
  <c r="I47" i="25" s="1"/>
  <c r="H49" i="3"/>
  <c r="I49" i="3" s="1"/>
  <c r="H49" i="6"/>
  <c r="I49" i="6" s="1"/>
  <c r="H51" i="10"/>
  <c r="I51" i="10" s="1"/>
  <c r="D121" i="42"/>
  <c r="G120" i="42"/>
  <c r="J119" i="42"/>
  <c r="H39" i="42"/>
  <c r="I39" i="42" s="1"/>
  <c r="G39" i="45"/>
  <c r="I39" i="45" s="1"/>
  <c r="H49" i="4"/>
  <c r="I49" i="4" s="1"/>
  <c r="D40" i="44"/>
  <c r="E40" i="44"/>
  <c r="H42" i="30"/>
  <c r="I42" i="30" s="1"/>
  <c r="J119" i="38"/>
  <c r="G39" i="44"/>
  <c r="B51" i="9"/>
  <c r="F51" i="9"/>
  <c r="H39" i="44"/>
  <c r="B44" i="27"/>
  <c r="F44" i="27"/>
  <c r="G44" i="27" s="1"/>
  <c r="D50" i="6"/>
  <c r="E50" i="6"/>
  <c r="B129" i="6"/>
  <c r="F129" i="6"/>
  <c r="F122" i="30"/>
  <c r="B122" i="30"/>
  <c r="B131" i="10"/>
  <c r="F131" i="10"/>
  <c r="B128" i="4"/>
  <c r="F128" i="4"/>
  <c r="B127" i="22"/>
  <c r="F127" i="22"/>
  <c r="I119" i="37"/>
  <c r="H119" i="37"/>
  <c r="F130" i="11"/>
  <c r="B130" i="11"/>
  <c r="I125" i="23"/>
  <c r="H125" i="23"/>
  <c r="I130" i="7"/>
  <c r="H130" i="7"/>
  <c r="I128" i="6"/>
  <c r="H128" i="6"/>
  <c r="B129" i="8"/>
  <c r="F129" i="8"/>
  <c r="I127" i="4"/>
  <c r="H127" i="4"/>
  <c r="I122" i="28"/>
  <c r="H122" i="28"/>
  <c r="B125" i="24"/>
  <c r="F125" i="24"/>
  <c r="B127" i="25"/>
  <c r="F127" i="25"/>
  <c r="B128" i="3"/>
  <c r="F128" i="3"/>
  <c r="I129" i="9"/>
  <c r="H129" i="9"/>
  <c r="J123" i="29"/>
  <c r="I127" i="5"/>
  <c r="H127" i="5"/>
  <c r="I130" i="10"/>
  <c r="H130" i="10"/>
  <c r="I128" i="8"/>
  <c r="H128" i="8"/>
  <c r="B123" i="28"/>
  <c r="F123" i="28"/>
  <c r="H123" i="27"/>
  <c r="I123" i="27"/>
  <c r="I126" i="22"/>
  <c r="H126" i="22"/>
  <c r="I126" i="25"/>
  <c r="H126" i="25"/>
  <c r="H127" i="3"/>
  <c r="I127" i="3"/>
  <c r="I129" i="11"/>
  <c r="H129" i="11"/>
  <c r="E121" i="38"/>
  <c r="G120" i="38"/>
  <c r="D121" i="38"/>
  <c r="F120" i="40"/>
  <c r="B120" i="40"/>
  <c r="I121" i="30"/>
  <c r="H121" i="30"/>
  <c r="B128" i="5"/>
  <c r="F128" i="5"/>
  <c r="H124" i="24"/>
  <c r="I124" i="24"/>
  <c r="F124" i="27"/>
  <c r="B124" i="27"/>
  <c r="F120" i="37"/>
  <c r="B120" i="37"/>
  <c r="B130" i="9"/>
  <c r="F130" i="9"/>
  <c r="B126" i="23"/>
  <c r="F126" i="23"/>
  <c r="F131" i="7"/>
  <c r="B131" i="7"/>
  <c r="H119" i="40"/>
  <c r="I119" i="40"/>
  <c r="G124" i="29"/>
  <c r="D125" i="29"/>
  <c r="E125" i="29"/>
  <c r="E52" i="11"/>
  <c r="D52" i="11"/>
  <c r="F45" i="29"/>
  <c r="H45" i="29" s="1"/>
  <c r="B45" i="29"/>
  <c r="G40" i="41"/>
  <c r="I40" i="41" s="1"/>
  <c r="D50" i="8"/>
  <c r="E50" i="8"/>
  <c r="D42" i="13"/>
  <c r="E42" i="13" s="1"/>
  <c r="H43" i="28"/>
  <c r="I43" i="28" s="1"/>
  <c r="D47" i="23"/>
  <c r="E47" i="23"/>
  <c r="D41" i="41"/>
  <c r="E41" i="41"/>
  <c r="D41" i="37"/>
  <c r="E41" i="37"/>
  <c r="I123" i="31"/>
  <c r="H123" i="31"/>
  <c r="D50" i="5"/>
  <c r="E50" i="5"/>
  <c r="H46" i="23"/>
  <c r="I46" i="23" s="1"/>
  <c r="D48" i="25"/>
  <c r="E48" i="25"/>
  <c r="D53" i="7"/>
  <c r="E53" i="7"/>
  <c r="H52" i="7"/>
  <c r="B124" i="31"/>
  <c r="F124" i="31"/>
  <c r="D121" i="39"/>
  <c r="E121" i="39"/>
  <c r="G120" i="39"/>
  <c r="D46" i="24"/>
  <c r="E46" i="24"/>
  <c r="H49" i="5"/>
  <c r="H40" i="43"/>
  <c r="I40" i="43" s="1"/>
  <c r="D50" i="3"/>
  <c r="E50" i="3"/>
  <c r="G41" i="13"/>
  <c r="I41" i="13" s="1"/>
  <c r="E41" i="38"/>
  <c r="D41" i="38"/>
  <c r="D40" i="42"/>
  <c r="E40" i="42"/>
  <c r="G52" i="7"/>
  <c r="D43" i="30"/>
  <c r="E43" i="30"/>
  <c r="G49" i="5"/>
  <c r="B120" i="43"/>
  <c r="F120" i="43"/>
  <c r="I120" i="44"/>
  <c r="H120" i="44"/>
  <c r="H51" i="11"/>
  <c r="D41" i="40"/>
  <c r="E41" i="40"/>
  <c r="F120" i="41"/>
  <c r="B120" i="41"/>
  <c r="H49" i="8"/>
  <c r="I119" i="45"/>
  <c r="H119" i="45"/>
  <c r="I119" i="43"/>
  <c r="H119" i="43"/>
  <c r="D41" i="43"/>
  <c r="E41" i="43"/>
  <c r="B121" i="44"/>
  <c r="F121" i="44"/>
  <c r="D48" i="22"/>
  <c r="E48" i="22"/>
  <c r="D42" i="39"/>
  <c r="E42" i="39"/>
  <c r="D44" i="28"/>
  <c r="E44" i="28"/>
  <c r="H47" i="22"/>
  <c r="I47" i="22" s="1"/>
  <c r="H41" i="39"/>
  <c r="I41" i="39" s="1"/>
  <c r="G40" i="38"/>
  <c r="I40" i="38" s="1"/>
  <c r="G51" i="11"/>
  <c r="D40" i="45"/>
  <c r="E40" i="45"/>
  <c r="D50" i="4"/>
  <c r="E50" i="4"/>
  <c r="H40" i="40"/>
  <c r="I40" i="40" s="1"/>
  <c r="B43" i="31"/>
  <c r="F43" i="31"/>
  <c r="G43" i="31" s="1"/>
  <c r="H119" i="41"/>
  <c r="I119" i="41"/>
  <c r="G49" i="8"/>
  <c r="B120" i="45"/>
  <c r="F120" i="45"/>
  <c r="H40" i="37"/>
  <c r="I40" i="37" s="1"/>
  <c r="J119" i="39"/>
  <c r="D52" i="10"/>
  <c r="E52" i="10"/>
  <c r="B40" i="46" l="1"/>
  <c r="F40" i="46"/>
  <c r="H40" i="46"/>
  <c r="G40" i="46"/>
  <c r="J120" i="13"/>
  <c r="E121" i="46"/>
  <c r="F121" i="46" s="1"/>
  <c r="B121" i="46"/>
  <c r="H120" i="46"/>
  <c r="I120" i="46"/>
  <c r="J120" i="46" s="1"/>
  <c r="D122" i="13"/>
  <c r="G121" i="13"/>
  <c r="J123" i="27"/>
  <c r="J122" i="28"/>
  <c r="J121" i="30"/>
  <c r="J125" i="23"/>
  <c r="J129" i="9"/>
  <c r="J130" i="7"/>
  <c r="J128" i="6"/>
  <c r="J127" i="4"/>
  <c r="J127" i="3"/>
  <c r="I120" i="42"/>
  <c r="H120" i="42"/>
  <c r="E121" i="42"/>
  <c r="F121" i="42" s="1"/>
  <c r="B121" i="42"/>
  <c r="H44" i="27"/>
  <c r="I44" i="27" s="1"/>
  <c r="D52" i="9"/>
  <c r="E52" i="9"/>
  <c r="B40" i="44"/>
  <c r="F40" i="44"/>
  <c r="G40" i="44" s="1"/>
  <c r="J119" i="37"/>
  <c r="F50" i="6"/>
  <c r="G50" i="6" s="1"/>
  <c r="B50" i="6"/>
  <c r="H51" i="9"/>
  <c r="D45" i="27"/>
  <c r="E45" i="27"/>
  <c r="I39" i="44"/>
  <c r="I51" i="11"/>
  <c r="G51" i="9"/>
  <c r="J119" i="40"/>
  <c r="E127" i="23"/>
  <c r="G126" i="23"/>
  <c r="D127" i="23"/>
  <c r="J124" i="24"/>
  <c r="B121" i="38"/>
  <c r="F121" i="38"/>
  <c r="J129" i="11"/>
  <c r="J126" i="25"/>
  <c r="J128" i="8"/>
  <c r="J127" i="5"/>
  <c r="D129" i="3"/>
  <c r="G128" i="3"/>
  <c r="E129" i="3"/>
  <c r="E126" i="24"/>
  <c r="G125" i="24"/>
  <c r="D126" i="24"/>
  <c r="E129" i="4"/>
  <c r="G128" i="4"/>
  <c r="D129" i="4"/>
  <c r="D121" i="37"/>
  <c r="E121" i="37"/>
  <c r="G120" i="37"/>
  <c r="H120" i="38"/>
  <c r="I120" i="38"/>
  <c r="E124" i="28"/>
  <c r="D124" i="28"/>
  <c r="G123" i="28"/>
  <c r="G122" i="30"/>
  <c r="D123" i="30"/>
  <c r="E123" i="30"/>
  <c r="J119" i="41"/>
  <c r="G130" i="9"/>
  <c r="E131" i="9"/>
  <c r="D131" i="9"/>
  <c r="D129" i="5"/>
  <c r="G128" i="5"/>
  <c r="E129" i="5"/>
  <c r="J126" i="22"/>
  <c r="J130" i="10"/>
  <c r="D128" i="25"/>
  <c r="E128" i="25"/>
  <c r="G127" i="25"/>
  <c r="G129" i="8"/>
  <c r="E130" i="8"/>
  <c r="D130" i="8"/>
  <c r="G127" i="22"/>
  <c r="E128" i="22"/>
  <c r="D128" i="22"/>
  <c r="G131" i="10"/>
  <c r="E132" i="10"/>
  <c r="D132" i="10"/>
  <c r="G129" i="6"/>
  <c r="E130" i="6"/>
  <c r="D130" i="6"/>
  <c r="D132" i="7"/>
  <c r="E132" i="7"/>
  <c r="G131" i="7"/>
  <c r="G124" i="27"/>
  <c r="E125" i="27"/>
  <c r="D125" i="27"/>
  <c r="D121" i="40"/>
  <c r="E121" i="40"/>
  <c r="G120" i="40"/>
  <c r="D131" i="11"/>
  <c r="G130" i="11"/>
  <c r="E131" i="11"/>
  <c r="F125" i="29"/>
  <c r="B125" i="29"/>
  <c r="I124" i="29"/>
  <c r="H124" i="29"/>
  <c r="J123" i="31"/>
  <c r="B41" i="40"/>
  <c r="F41" i="40"/>
  <c r="G41" i="40" s="1"/>
  <c r="B53" i="7"/>
  <c r="F53" i="7"/>
  <c r="H53" i="7" s="1"/>
  <c r="H43" i="31"/>
  <c r="I43" i="31" s="1"/>
  <c r="F50" i="4"/>
  <c r="H50" i="4" s="1"/>
  <c r="B50" i="4"/>
  <c r="J119" i="45"/>
  <c r="D121" i="43"/>
  <c r="G120" i="43"/>
  <c r="E121" i="43"/>
  <c r="G124" i="31"/>
  <c r="D125" i="31"/>
  <c r="E125" i="31"/>
  <c r="F47" i="23"/>
  <c r="G47" i="23" s="1"/>
  <c r="B47" i="23"/>
  <c r="F50" i="8"/>
  <c r="G50" i="8" s="1"/>
  <c r="B50" i="8"/>
  <c r="D121" i="45"/>
  <c r="E121" i="45" s="1"/>
  <c r="G120" i="45"/>
  <c r="I52" i="7"/>
  <c r="B50" i="5"/>
  <c r="F50" i="5"/>
  <c r="B42" i="13"/>
  <c r="F42" i="13"/>
  <c r="D46" i="29"/>
  <c r="E46" i="29"/>
  <c r="B121" i="39"/>
  <c r="F121" i="39"/>
  <c r="B41" i="37"/>
  <c r="F41" i="37"/>
  <c r="G41" i="37" s="1"/>
  <c r="B42" i="39"/>
  <c r="F42" i="39"/>
  <c r="H42" i="39" s="1"/>
  <c r="F50" i="3"/>
  <c r="H50" i="3" s="1"/>
  <c r="B50" i="3"/>
  <c r="B48" i="25"/>
  <c r="F48" i="25"/>
  <c r="G48" i="25" s="1"/>
  <c r="B41" i="41"/>
  <c r="F41" i="41"/>
  <c r="G41" i="41" s="1"/>
  <c r="G45" i="29"/>
  <c r="I45" i="29" s="1"/>
  <c r="B43" i="30"/>
  <c r="F43" i="30"/>
  <c r="G43" i="30" s="1"/>
  <c r="I49" i="8"/>
  <c r="F40" i="45"/>
  <c r="H40" i="45" s="1"/>
  <c r="B40" i="45"/>
  <c r="F41" i="43"/>
  <c r="H41" i="43" s="1"/>
  <c r="B41" i="43"/>
  <c r="J120" i="44"/>
  <c r="B46" i="24"/>
  <c r="F46" i="24"/>
  <c r="G46" i="24" s="1"/>
  <c r="F52" i="11"/>
  <c r="H52" i="11" s="1"/>
  <c r="B52" i="11"/>
  <c r="D44" i="31"/>
  <c r="E44" i="31"/>
  <c r="B52" i="10"/>
  <c r="F52" i="10"/>
  <c r="G52" i="10" s="1"/>
  <c r="F48" i="22"/>
  <c r="H48" i="22" s="1"/>
  <c r="B48" i="22"/>
  <c r="G120" i="41"/>
  <c r="D121" i="41"/>
  <c r="E121" i="41"/>
  <c r="H120" i="39"/>
  <c r="I120" i="39"/>
  <c r="B41" i="38"/>
  <c r="F41" i="38"/>
  <c r="B44" i="28"/>
  <c r="F44" i="28"/>
  <c r="G44" i="28" s="1"/>
  <c r="G121" i="44"/>
  <c r="D122" i="44"/>
  <c r="J119" i="43"/>
  <c r="F40" i="42"/>
  <c r="B40" i="42"/>
  <c r="I40" i="46" l="1"/>
  <c r="D41" i="46"/>
  <c r="E41" i="46"/>
  <c r="D122" i="46"/>
  <c r="G121" i="46"/>
  <c r="H41" i="37"/>
  <c r="I41" i="37" s="1"/>
  <c r="I121" i="13"/>
  <c r="H121" i="13"/>
  <c r="J120" i="38"/>
  <c r="B122" i="13"/>
  <c r="E122" i="13"/>
  <c r="F122" i="13" s="1"/>
  <c r="H40" i="44"/>
  <c r="I40" i="44" s="1"/>
  <c r="J124" i="29"/>
  <c r="D122" i="42"/>
  <c r="G121" i="42"/>
  <c r="H46" i="24"/>
  <c r="I46" i="24" s="1"/>
  <c r="G40" i="45"/>
  <c r="I40" i="45" s="1"/>
  <c r="H50" i="8"/>
  <c r="I50" i="8" s="1"/>
  <c r="H50" i="6"/>
  <c r="I50" i="6" s="1"/>
  <c r="J120" i="42"/>
  <c r="G48" i="22"/>
  <c r="I48" i="22" s="1"/>
  <c r="G50" i="3"/>
  <c r="I50" i="3" s="1"/>
  <c r="H47" i="23"/>
  <c r="I47" i="23" s="1"/>
  <c r="H41" i="40"/>
  <c r="I41" i="40" s="1"/>
  <c r="H43" i="30"/>
  <c r="I43" i="30" s="1"/>
  <c r="H52" i="10"/>
  <c r="I52" i="10" s="1"/>
  <c r="G52" i="11"/>
  <c r="I52" i="11" s="1"/>
  <c r="F45" i="27"/>
  <c r="B45" i="27"/>
  <c r="B52" i="9"/>
  <c r="F52" i="9"/>
  <c r="G52" i="9" s="1"/>
  <c r="H41" i="41"/>
  <c r="I41" i="41" s="1"/>
  <c r="G41" i="43"/>
  <c r="I41" i="43" s="1"/>
  <c r="G42" i="39"/>
  <c r="I42" i="39" s="1"/>
  <c r="I51" i="9"/>
  <c r="D51" i="6"/>
  <c r="E51" i="6"/>
  <c r="E41" i="44"/>
  <c r="D41" i="44"/>
  <c r="H124" i="27"/>
  <c r="I124" i="27"/>
  <c r="J124" i="27" s="1"/>
  <c r="B130" i="6"/>
  <c r="F130" i="6"/>
  <c r="I127" i="22"/>
  <c r="H127" i="22"/>
  <c r="I127" i="25"/>
  <c r="H127" i="25"/>
  <c r="B131" i="9"/>
  <c r="F131" i="9"/>
  <c r="I123" i="28"/>
  <c r="H123" i="28"/>
  <c r="F129" i="4"/>
  <c r="B129" i="4"/>
  <c r="I125" i="24"/>
  <c r="H125" i="24"/>
  <c r="F129" i="3"/>
  <c r="B129" i="3"/>
  <c r="F127" i="23"/>
  <c r="B127" i="23"/>
  <c r="H130" i="11"/>
  <c r="I130" i="11"/>
  <c r="F121" i="40"/>
  <c r="B121" i="40"/>
  <c r="H131" i="7"/>
  <c r="I131" i="7"/>
  <c r="H131" i="10"/>
  <c r="I131" i="10"/>
  <c r="F130" i="8"/>
  <c r="B130" i="8"/>
  <c r="B124" i="28"/>
  <c r="F124" i="28"/>
  <c r="H120" i="37"/>
  <c r="I120" i="37"/>
  <c r="H128" i="4"/>
  <c r="I128" i="4"/>
  <c r="D122" i="38"/>
  <c r="E122" i="38"/>
  <c r="G121" i="38"/>
  <c r="H126" i="23"/>
  <c r="I126" i="23"/>
  <c r="B131" i="11"/>
  <c r="F131" i="11"/>
  <c r="B125" i="27"/>
  <c r="F125" i="27"/>
  <c r="H129" i="6"/>
  <c r="I129" i="6"/>
  <c r="F128" i="22"/>
  <c r="B128" i="22"/>
  <c r="F128" i="25"/>
  <c r="B128" i="25"/>
  <c r="H128" i="5"/>
  <c r="I128" i="5"/>
  <c r="I130" i="9"/>
  <c r="H130" i="9"/>
  <c r="F123" i="30"/>
  <c r="B123" i="30"/>
  <c r="H120" i="40"/>
  <c r="I120" i="40"/>
  <c r="F132" i="7"/>
  <c r="B132" i="7"/>
  <c r="F132" i="10"/>
  <c r="B132" i="10"/>
  <c r="H129" i="8"/>
  <c r="I129" i="8"/>
  <c r="B129" i="5"/>
  <c r="F129" i="5"/>
  <c r="I122" i="30"/>
  <c r="H122" i="30"/>
  <c r="F121" i="37"/>
  <c r="B121" i="37"/>
  <c r="B126" i="24"/>
  <c r="F126" i="24"/>
  <c r="H128" i="3"/>
  <c r="I128" i="3"/>
  <c r="E126" i="29"/>
  <c r="G125" i="29"/>
  <c r="D126" i="29"/>
  <c r="D43" i="13"/>
  <c r="E43" i="13" s="1"/>
  <c r="H120" i="41"/>
  <c r="I120" i="41"/>
  <c r="G121" i="39"/>
  <c r="D122" i="39"/>
  <c r="E122" i="39"/>
  <c r="D51" i="4"/>
  <c r="E51" i="4"/>
  <c r="D42" i="38"/>
  <c r="E42" i="38"/>
  <c r="B122" i="44"/>
  <c r="H41" i="38"/>
  <c r="D53" i="11"/>
  <c r="E53" i="11"/>
  <c r="D47" i="24"/>
  <c r="E47" i="24"/>
  <c r="H42" i="13"/>
  <c r="D51" i="8"/>
  <c r="E51" i="8"/>
  <c r="F121" i="41"/>
  <c r="B121" i="41"/>
  <c r="E122" i="44"/>
  <c r="F122" i="44" s="1"/>
  <c r="E42" i="43"/>
  <c r="D42" i="43"/>
  <c r="H48" i="25"/>
  <c r="I48" i="25" s="1"/>
  <c r="D43" i="39"/>
  <c r="E43" i="39"/>
  <c r="G42" i="13"/>
  <c r="H120" i="43"/>
  <c r="I120" i="43"/>
  <c r="D42" i="40"/>
  <c r="E42" i="40"/>
  <c r="H121" i="44"/>
  <c r="I121" i="44"/>
  <c r="D45" i="28"/>
  <c r="E45" i="28"/>
  <c r="F46" i="29"/>
  <c r="H46" i="29" s="1"/>
  <c r="B46" i="29"/>
  <c r="I120" i="45"/>
  <c r="H120" i="45"/>
  <c r="B125" i="31"/>
  <c r="F125" i="31"/>
  <c r="B121" i="43"/>
  <c r="F121" i="43"/>
  <c r="H44" i="28"/>
  <c r="I44" i="28" s="1"/>
  <c r="D49" i="22"/>
  <c r="E49" i="22"/>
  <c r="D49" i="25"/>
  <c r="E49" i="25"/>
  <c r="D51" i="5"/>
  <c r="E51" i="5"/>
  <c r="B121" i="45"/>
  <c r="F121" i="45"/>
  <c r="H124" i="31"/>
  <c r="I124" i="31"/>
  <c r="D41" i="42"/>
  <c r="E41" i="42"/>
  <c r="G40" i="42"/>
  <c r="B44" i="31"/>
  <c r="F44" i="31"/>
  <c r="G44" i="31" s="1"/>
  <c r="D51" i="3"/>
  <c r="E51" i="3"/>
  <c r="D42" i="37"/>
  <c r="E42" i="37"/>
  <c r="H50" i="5"/>
  <c r="D48" i="23"/>
  <c r="E48" i="23"/>
  <c r="D54" i="7"/>
  <c r="E54" i="7"/>
  <c r="H40" i="42"/>
  <c r="G41" i="38"/>
  <c r="J120" i="39"/>
  <c r="D53" i="10"/>
  <c r="E53" i="10"/>
  <c r="E41" i="45"/>
  <c r="D41" i="45"/>
  <c r="D44" i="30"/>
  <c r="E44" i="30"/>
  <c r="D42" i="41"/>
  <c r="E42" i="41"/>
  <c r="G50" i="5"/>
  <c r="G50" i="4"/>
  <c r="I50" i="4" s="1"/>
  <c r="G53" i="7"/>
  <c r="I53" i="7" s="1"/>
  <c r="H52" i="9" l="1"/>
  <c r="B41" i="46"/>
  <c r="F41" i="46"/>
  <c r="H41" i="46"/>
  <c r="H121" i="46"/>
  <c r="I121" i="46"/>
  <c r="J121" i="46" s="1"/>
  <c r="E122" i="46"/>
  <c r="F122" i="46"/>
  <c r="B122" i="46"/>
  <c r="J128" i="4"/>
  <c r="J131" i="10"/>
  <c r="G122" i="13"/>
  <c r="D123" i="13"/>
  <c r="J121" i="13"/>
  <c r="J120" i="37"/>
  <c r="J122" i="30"/>
  <c r="J130" i="11"/>
  <c r="J155" i="11" s="1"/>
  <c r="J130" i="9"/>
  <c r="J155" i="9" s="1"/>
  <c r="J131" i="7"/>
  <c r="H121" i="42"/>
  <c r="I121" i="42"/>
  <c r="E122" i="42"/>
  <c r="F122" i="42" s="1"/>
  <c r="B122" i="42"/>
  <c r="I52" i="9"/>
  <c r="G46" i="29"/>
  <c r="I46" i="29" s="1"/>
  <c r="B41" i="44"/>
  <c r="F41" i="44"/>
  <c r="D46" i="27"/>
  <c r="E46" i="27"/>
  <c r="H45" i="27"/>
  <c r="D53" i="9"/>
  <c r="E53" i="9"/>
  <c r="J121" i="44"/>
  <c r="J120" i="43"/>
  <c r="F51" i="6"/>
  <c r="H51" i="6" s="1"/>
  <c r="B51" i="6"/>
  <c r="G45" i="27"/>
  <c r="G123" i="30"/>
  <c r="D124" i="30"/>
  <c r="E124" i="30"/>
  <c r="E125" i="28"/>
  <c r="G124" i="28"/>
  <c r="D125" i="28"/>
  <c r="E131" i="6"/>
  <c r="G130" i="6"/>
  <c r="D131" i="6"/>
  <c r="J128" i="3"/>
  <c r="E130" i="5"/>
  <c r="D130" i="5"/>
  <c r="G129" i="5"/>
  <c r="J120" i="40"/>
  <c r="J129" i="6"/>
  <c r="E132" i="11"/>
  <c r="G131" i="11"/>
  <c r="D132" i="11"/>
  <c r="I121" i="38"/>
  <c r="H121" i="38"/>
  <c r="D122" i="40"/>
  <c r="G121" i="40"/>
  <c r="E122" i="40"/>
  <c r="G127" i="23"/>
  <c r="D128" i="23"/>
  <c r="E128" i="23"/>
  <c r="J125" i="24"/>
  <c r="J123" i="28"/>
  <c r="J127" i="25"/>
  <c r="E133" i="7"/>
  <c r="D133" i="7"/>
  <c r="G132" i="7"/>
  <c r="G128" i="22"/>
  <c r="E129" i="22"/>
  <c r="D129" i="22"/>
  <c r="G121" i="37"/>
  <c r="E122" i="37"/>
  <c r="D122" i="37"/>
  <c r="E133" i="10"/>
  <c r="G132" i="10"/>
  <c r="D133" i="10"/>
  <c r="D129" i="25"/>
  <c r="G128" i="25"/>
  <c r="E129" i="25"/>
  <c r="G131" i="9"/>
  <c r="D132" i="9"/>
  <c r="E132" i="9"/>
  <c r="G126" i="24"/>
  <c r="D127" i="24"/>
  <c r="E127" i="24"/>
  <c r="J129" i="8"/>
  <c r="J128" i="5"/>
  <c r="E126" i="27"/>
  <c r="G125" i="27"/>
  <c r="D126" i="27"/>
  <c r="J126" i="23"/>
  <c r="B122" i="38"/>
  <c r="F122" i="38"/>
  <c r="D131" i="8"/>
  <c r="E131" i="8"/>
  <c r="G130" i="8"/>
  <c r="E130" i="3"/>
  <c r="G129" i="3"/>
  <c r="D130" i="3"/>
  <c r="D130" i="4"/>
  <c r="G129" i="4"/>
  <c r="E130" i="4"/>
  <c r="J127" i="22"/>
  <c r="J120" i="45"/>
  <c r="F126" i="29"/>
  <c r="B126" i="29"/>
  <c r="H125" i="29"/>
  <c r="I125" i="29"/>
  <c r="G122" i="44"/>
  <c r="D123" i="44"/>
  <c r="G121" i="41"/>
  <c r="D122" i="41"/>
  <c r="E122" i="41"/>
  <c r="F53" i="10"/>
  <c r="G53" i="10" s="1"/>
  <c r="B53" i="10"/>
  <c r="G121" i="45"/>
  <c r="D122" i="45"/>
  <c r="E122" i="45" s="1"/>
  <c r="B53" i="11"/>
  <c r="F53" i="11"/>
  <c r="H53" i="11" s="1"/>
  <c r="J120" i="41"/>
  <c r="F41" i="42"/>
  <c r="H41" i="42" s="1"/>
  <c r="B41" i="42"/>
  <c r="E126" i="31"/>
  <c r="D126" i="31"/>
  <c r="G125" i="31"/>
  <c r="D47" i="29"/>
  <c r="E47" i="29"/>
  <c r="B42" i="40"/>
  <c r="F42" i="40"/>
  <c r="B49" i="22"/>
  <c r="F49" i="22"/>
  <c r="G49" i="22" s="1"/>
  <c r="B49" i="25"/>
  <c r="F49" i="25"/>
  <c r="G49" i="25" s="1"/>
  <c r="B51" i="8"/>
  <c r="F51" i="8"/>
  <c r="H51" i="8" s="1"/>
  <c r="F42" i="38"/>
  <c r="G42" i="38" s="1"/>
  <c r="B42" i="38"/>
  <c r="F42" i="41"/>
  <c r="G42" i="41" s="1"/>
  <c r="B42" i="41"/>
  <c r="G121" i="43"/>
  <c r="D122" i="43"/>
  <c r="E122" i="43"/>
  <c r="B44" i="30"/>
  <c r="F44" i="30"/>
  <c r="H44" i="30" s="1"/>
  <c r="B42" i="37"/>
  <c r="F42" i="37"/>
  <c r="D45" i="31"/>
  <c r="E45" i="31"/>
  <c r="F45" i="28"/>
  <c r="H45" i="28" s="1"/>
  <c r="B45" i="28"/>
  <c r="F42" i="43"/>
  <c r="B42" i="43"/>
  <c r="B122" i="39"/>
  <c r="F122" i="39"/>
  <c r="B48" i="23"/>
  <c r="F48" i="23"/>
  <c r="G48" i="23" s="1"/>
  <c r="F51" i="3"/>
  <c r="G51" i="3" s="1"/>
  <c r="B51" i="3"/>
  <c r="I42" i="13"/>
  <c r="I41" i="38"/>
  <c r="I121" i="39"/>
  <c r="H121" i="39"/>
  <c r="B54" i="7"/>
  <c r="F54" i="7"/>
  <c r="G54" i="7" s="1"/>
  <c r="F41" i="45"/>
  <c r="H41" i="45" s="1"/>
  <c r="B41" i="45"/>
  <c r="I40" i="42"/>
  <c r="H44" i="31"/>
  <c r="I44" i="31" s="1"/>
  <c r="J124" i="31"/>
  <c r="B51" i="4"/>
  <c r="F51" i="4"/>
  <c r="B43" i="13"/>
  <c r="F43" i="13"/>
  <c r="G43" i="13" s="1"/>
  <c r="F51" i="5"/>
  <c r="H51" i="5" s="1"/>
  <c r="B51" i="5"/>
  <c r="B43" i="39"/>
  <c r="F43" i="39"/>
  <c r="G43" i="39" s="1"/>
  <c r="B47" i="24"/>
  <c r="F47" i="24"/>
  <c r="H47" i="24" s="1"/>
  <c r="J121" i="42" l="1"/>
  <c r="G41" i="46"/>
  <c r="I41" i="46" s="1"/>
  <c r="D42" i="46"/>
  <c r="E42" i="46"/>
  <c r="G122" i="46"/>
  <c r="D123" i="46"/>
  <c r="H122" i="13"/>
  <c r="I122" i="13"/>
  <c r="J122" i="13" s="1"/>
  <c r="B123" i="13"/>
  <c r="E123" i="13"/>
  <c r="F123" i="13" s="1"/>
  <c r="J125" i="29"/>
  <c r="G45" i="28"/>
  <c r="I45" i="28" s="1"/>
  <c r="G122" i="42"/>
  <c r="D123" i="42"/>
  <c r="G44" i="30"/>
  <c r="I44" i="30" s="1"/>
  <c r="G51" i="8"/>
  <c r="I51" i="8" s="1"/>
  <c r="G51" i="6"/>
  <c r="I51" i="6" s="1"/>
  <c r="I45" i="27"/>
  <c r="H54" i="7"/>
  <c r="I54" i="7" s="1"/>
  <c r="D42" i="44"/>
  <c r="E42" i="44"/>
  <c r="G41" i="45"/>
  <c r="I41" i="45" s="1"/>
  <c r="H49" i="22"/>
  <c r="I49" i="22" s="1"/>
  <c r="G41" i="44"/>
  <c r="D52" i="6"/>
  <c r="E52" i="6"/>
  <c r="F53" i="9"/>
  <c r="H53" i="9" s="1"/>
  <c r="B53" i="9"/>
  <c r="F46" i="27"/>
  <c r="G46" i="27" s="1"/>
  <c r="B46" i="27"/>
  <c r="H41" i="44"/>
  <c r="H126" i="24"/>
  <c r="I126" i="24"/>
  <c r="J126" i="24" s="1"/>
  <c r="H132" i="10"/>
  <c r="I132" i="10"/>
  <c r="I121" i="37"/>
  <c r="H121" i="37"/>
  <c r="H132" i="7"/>
  <c r="I132" i="7"/>
  <c r="H127" i="23"/>
  <c r="I127" i="23"/>
  <c r="I130" i="6"/>
  <c r="H130" i="6"/>
  <c r="J121" i="39"/>
  <c r="I129" i="3"/>
  <c r="H129" i="3"/>
  <c r="B131" i="8"/>
  <c r="F131" i="8"/>
  <c r="B126" i="27"/>
  <c r="F126" i="27"/>
  <c r="I128" i="25"/>
  <c r="H128" i="25"/>
  <c r="B129" i="22"/>
  <c r="F129" i="22"/>
  <c r="F133" i="7"/>
  <c r="B133" i="7"/>
  <c r="J121" i="38"/>
  <c r="F130" i="5"/>
  <c r="B130" i="5"/>
  <c r="I129" i="4"/>
  <c r="H129" i="4"/>
  <c r="D123" i="38"/>
  <c r="E123" i="38"/>
  <c r="G122" i="38"/>
  <c r="I125" i="27"/>
  <c r="H125" i="27"/>
  <c r="F132" i="9"/>
  <c r="B132" i="9"/>
  <c r="B129" i="25"/>
  <c r="F129" i="25"/>
  <c r="F122" i="37"/>
  <c r="B122" i="37"/>
  <c r="I121" i="40"/>
  <c r="H121" i="40"/>
  <c r="F132" i="11"/>
  <c r="B132" i="11"/>
  <c r="B125" i="28"/>
  <c r="F125" i="28"/>
  <c r="F124" i="30"/>
  <c r="B124" i="30"/>
  <c r="F130" i="3"/>
  <c r="B130" i="3"/>
  <c r="B130" i="4"/>
  <c r="F130" i="4"/>
  <c r="I130" i="8"/>
  <c r="H130" i="8"/>
  <c r="B127" i="24"/>
  <c r="F127" i="24"/>
  <c r="H131" i="9"/>
  <c r="I131" i="9"/>
  <c r="B133" i="10"/>
  <c r="F133" i="10"/>
  <c r="I128" i="22"/>
  <c r="H128" i="22"/>
  <c r="B128" i="23"/>
  <c r="F128" i="23"/>
  <c r="F122" i="40"/>
  <c r="B122" i="40"/>
  <c r="I131" i="11"/>
  <c r="H131" i="11"/>
  <c r="I129" i="5"/>
  <c r="H129" i="5"/>
  <c r="B131" i="6"/>
  <c r="F131" i="6"/>
  <c r="I124" i="28"/>
  <c r="H124" i="28"/>
  <c r="I123" i="30"/>
  <c r="H123" i="30"/>
  <c r="D127" i="29"/>
  <c r="G126" i="29"/>
  <c r="E127" i="29"/>
  <c r="E52" i="5"/>
  <c r="D52" i="5"/>
  <c r="D45" i="30"/>
  <c r="E45" i="30"/>
  <c r="D43" i="38"/>
  <c r="E43" i="38"/>
  <c r="D42" i="42"/>
  <c r="E42" i="42"/>
  <c r="D54" i="10"/>
  <c r="E54" i="10"/>
  <c r="E52" i="4"/>
  <c r="D52" i="4"/>
  <c r="D42" i="45"/>
  <c r="E42" i="45"/>
  <c r="D52" i="3"/>
  <c r="E52" i="3"/>
  <c r="D43" i="37"/>
  <c r="E43" i="37"/>
  <c r="D43" i="41"/>
  <c r="E43" i="41"/>
  <c r="D50" i="25"/>
  <c r="E50" i="25"/>
  <c r="B122" i="45"/>
  <c r="F122" i="45"/>
  <c r="E55" i="7"/>
  <c r="D55" i="7"/>
  <c r="E43" i="43"/>
  <c r="D43" i="43"/>
  <c r="H42" i="37"/>
  <c r="H42" i="41"/>
  <c r="I42" i="41" s="1"/>
  <c r="F47" i="29"/>
  <c r="G47" i="29" s="1"/>
  <c r="B47" i="29"/>
  <c r="E54" i="11"/>
  <c r="D54" i="11"/>
  <c r="I121" i="45"/>
  <c r="H121" i="45"/>
  <c r="F122" i="41"/>
  <c r="B122" i="41"/>
  <c r="D44" i="39"/>
  <c r="E44" i="39"/>
  <c r="H43" i="13"/>
  <c r="I43" i="13" s="1"/>
  <c r="H51" i="4"/>
  <c r="H43" i="39"/>
  <c r="I43" i="39" s="1"/>
  <c r="H42" i="43"/>
  <c r="H49" i="25"/>
  <c r="I49" i="25" s="1"/>
  <c r="I125" i="31"/>
  <c r="H125" i="31"/>
  <c r="H121" i="41"/>
  <c r="I121" i="41"/>
  <c r="D49" i="23"/>
  <c r="E49" i="23"/>
  <c r="G42" i="43"/>
  <c r="G42" i="37"/>
  <c r="F126" i="31"/>
  <c r="B126" i="31"/>
  <c r="G53" i="11"/>
  <c r="I53" i="11" s="1"/>
  <c r="B123" i="44"/>
  <c r="E43" i="40"/>
  <c r="D43" i="40"/>
  <c r="G47" i="24"/>
  <c r="I47" i="24" s="1"/>
  <c r="D44" i="13"/>
  <c r="E44" i="13" s="1"/>
  <c r="G51" i="4"/>
  <c r="G122" i="39"/>
  <c r="D123" i="39"/>
  <c r="E123" i="39"/>
  <c r="B45" i="31"/>
  <c r="F45" i="31"/>
  <c r="H45" i="31" s="1"/>
  <c r="B122" i="43"/>
  <c r="F122" i="43"/>
  <c r="H42" i="38"/>
  <c r="I42" i="38" s="1"/>
  <c r="H42" i="40"/>
  <c r="I122" i="44"/>
  <c r="H122" i="44"/>
  <c r="D48" i="24"/>
  <c r="E48" i="24"/>
  <c r="G51" i="5"/>
  <c r="H51" i="3"/>
  <c r="I51" i="3" s="1"/>
  <c r="H48" i="23"/>
  <c r="I48" i="23" s="1"/>
  <c r="D46" i="28"/>
  <c r="E46" i="28"/>
  <c r="H121" i="43"/>
  <c r="I121" i="43"/>
  <c r="D52" i="8"/>
  <c r="E52" i="8"/>
  <c r="D50" i="22"/>
  <c r="E50" i="22"/>
  <c r="G42" i="40"/>
  <c r="G41" i="42"/>
  <c r="I41" i="42" s="1"/>
  <c r="H53" i="10"/>
  <c r="I53" i="10" s="1"/>
  <c r="E123" i="44"/>
  <c r="F123" i="44" s="1"/>
  <c r="B42" i="46" l="1"/>
  <c r="F42" i="46"/>
  <c r="G42" i="46" s="1"/>
  <c r="E123" i="46"/>
  <c r="F123" i="46"/>
  <c r="B123" i="46"/>
  <c r="H122" i="46"/>
  <c r="I122" i="46"/>
  <c r="D124" i="13"/>
  <c r="G123" i="13"/>
  <c r="J132" i="7"/>
  <c r="J132" i="10"/>
  <c r="J123" i="30"/>
  <c r="J128" i="25"/>
  <c r="H47" i="29"/>
  <c r="I47" i="29" s="1"/>
  <c r="E123" i="42"/>
  <c r="F123" i="42" s="1"/>
  <c r="B123" i="42"/>
  <c r="H122" i="42"/>
  <c r="I122" i="42"/>
  <c r="I41" i="44"/>
  <c r="I51" i="4"/>
  <c r="E47" i="27"/>
  <c r="D47" i="27"/>
  <c r="E54" i="9"/>
  <c r="D54" i="9"/>
  <c r="B42" i="44"/>
  <c r="F42" i="44"/>
  <c r="G42" i="44" s="1"/>
  <c r="G45" i="31"/>
  <c r="I45" i="31" s="1"/>
  <c r="I42" i="43"/>
  <c r="H46" i="27"/>
  <c r="I46" i="27" s="1"/>
  <c r="G53" i="9"/>
  <c r="I53" i="9" s="1"/>
  <c r="F52" i="6"/>
  <c r="G52" i="6" s="1"/>
  <c r="B52" i="6"/>
  <c r="G132" i="11"/>
  <c r="E133" i="11"/>
  <c r="D133" i="11"/>
  <c r="D133" i="9"/>
  <c r="E133" i="9"/>
  <c r="G132" i="9"/>
  <c r="D134" i="7"/>
  <c r="E134" i="7"/>
  <c r="G133" i="7"/>
  <c r="J125" i="31"/>
  <c r="G125" i="28"/>
  <c r="D126" i="28"/>
  <c r="E126" i="28"/>
  <c r="G129" i="25"/>
  <c r="E130" i="25"/>
  <c r="D130" i="25"/>
  <c r="B123" i="38"/>
  <c r="F123" i="38"/>
  <c r="D131" i="5"/>
  <c r="E131" i="5"/>
  <c r="G130" i="5"/>
  <c r="E130" i="22"/>
  <c r="D130" i="22"/>
  <c r="G129" i="22"/>
  <c r="D127" i="27"/>
  <c r="E127" i="27"/>
  <c r="G126" i="27"/>
  <c r="J130" i="6"/>
  <c r="G124" i="30"/>
  <c r="D125" i="30"/>
  <c r="E125" i="30"/>
  <c r="G122" i="37"/>
  <c r="D123" i="37"/>
  <c r="E123" i="37"/>
  <c r="J124" i="28"/>
  <c r="J129" i="5"/>
  <c r="G122" i="40"/>
  <c r="D123" i="40"/>
  <c r="E123" i="40"/>
  <c r="J128" i="22"/>
  <c r="J130" i="8"/>
  <c r="E131" i="3"/>
  <c r="G130" i="3"/>
  <c r="D131" i="3"/>
  <c r="J121" i="40"/>
  <c r="J125" i="27"/>
  <c r="J129" i="3"/>
  <c r="J127" i="23"/>
  <c r="E132" i="6"/>
  <c r="D132" i="6"/>
  <c r="G131" i="6"/>
  <c r="D129" i="23"/>
  <c r="E129" i="23"/>
  <c r="G128" i="23"/>
  <c r="D134" i="10"/>
  <c r="G133" i="10"/>
  <c r="E134" i="10"/>
  <c r="E128" i="24"/>
  <c r="G127" i="24"/>
  <c r="D128" i="24"/>
  <c r="D131" i="4"/>
  <c r="E131" i="4"/>
  <c r="G130" i="4"/>
  <c r="H122" i="38"/>
  <c r="I122" i="38"/>
  <c r="J129" i="4"/>
  <c r="G131" i="8"/>
  <c r="E132" i="8"/>
  <c r="D132" i="8"/>
  <c r="J121" i="37"/>
  <c r="J122" i="44"/>
  <c r="J121" i="43"/>
  <c r="H126" i="29"/>
  <c r="I126" i="29"/>
  <c r="F127" i="29"/>
  <c r="B127" i="29"/>
  <c r="G123" i="44"/>
  <c r="D124" i="44"/>
  <c r="F49" i="23"/>
  <c r="H49" i="23" s="1"/>
  <c r="B49" i="23"/>
  <c r="F43" i="43"/>
  <c r="H43" i="43" s="1"/>
  <c r="B43" i="43"/>
  <c r="B43" i="37"/>
  <c r="F43" i="37"/>
  <c r="G43" i="37" s="1"/>
  <c r="F52" i="5"/>
  <c r="G52" i="5" s="1"/>
  <c r="B52" i="5"/>
  <c r="F42" i="42"/>
  <c r="G42" i="42" s="1"/>
  <c r="B42" i="42"/>
  <c r="J121" i="41"/>
  <c r="B44" i="39"/>
  <c r="F44" i="39"/>
  <c r="H44" i="39" s="1"/>
  <c r="F43" i="40"/>
  <c r="H43" i="40" s="1"/>
  <c r="B43" i="40"/>
  <c r="F50" i="22"/>
  <c r="B50" i="22"/>
  <c r="F52" i="8"/>
  <c r="H52" i="8" s="1"/>
  <c r="B52" i="8"/>
  <c r="I42" i="40"/>
  <c r="B54" i="10"/>
  <c r="F54" i="10"/>
  <c r="G54" i="10" s="1"/>
  <c r="B123" i="39"/>
  <c r="F123" i="39"/>
  <c r="G122" i="41"/>
  <c r="D123" i="41"/>
  <c r="E123" i="41"/>
  <c r="D48" i="29"/>
  <c r="E48" i="29"/>
  <c r="F52" i="3"/>
  <c r="H52" i="3" s="1"/>
  <c r="B52" i="3"/>
  <c r="F48" i="24"/>
  <c r="B48" i="24"/>
  <c r="G122" i="43"/>
  <c r="D123" i="43"/>
  <c r="E123" i="43"/>
  <c r="I122" i="39"/>
  <c r="H122" i="39"/>
  <c r="I42" i="37"/>
  <c r="F55" i="7"/>
  <c r="H55" i="7" s="1"/>
  <c r="B55" i="7"/>
  <c r="G122" i="45"/>
  <c r="D123" i="45"/>
  <c r="F50" i="25"/>
  <c r="H50" i="25" s="1"/>
  <c r="B50" i="25"/>
  <c r="B43" i="38"/>
  <c r="F43" i="38"/>
  <c r="H43" i="38" s="1"/>
  <c r="B46" i="28"/>
  <c r="F46" i="28"/>
  <c r="E127" i="31"/>
  <c r="G126" i="31"/>
  <c r="D127" i="31"/>
  <c r="B44" i="13"/>
  <c r="F44" i="13"/>
  <c r="H44" i="13" s="1"/>
  <c r="J121" i="45"/>
  <c r="B42" i="45"/>
  <c r="F42" i="45"/>
  <c r="G42" i="45" s="1"/>
  <c r="D46" i="31"/>
  <c r="E46" i="31"/>
  <c r="B54" i="11"/>
  <c r="F54" i="11"/>
  <c r="G54" i="11" s="1"/>
  <c r="F43" i="41"/>
  <c r="G43" i="41" s="1"/>
  <c r="B43" i="41"/>
  <c r="B52" i="4"/>
  <c r="F52" i="4"/>
  <c r="G52" i="4" s="1"/>
  <c r="B45" i="30"/>
  <c r="F45" i="30"/>
  <c r="G45" i="30" s="1"/>
  <c r="G50" i="25" l="1"/>
  <c r="G55" i="7"/>
  <c r="H42" i="46"/>
  <c r="I42" i="46" s="1"/>
  <c r="D43" i="46"/>
  <c r="E43" i="46"/>
  <c r="G123" i="46"/>
  <c r="D124" i="46"/>
  <c r="J122" i="46"/>
  <c r="H123" i="13"/>
  <c r="I123" i="13"/>
  <c r="B124" i="13"/>
  <c r="E124" i="13"/>
  <c r="F124" i="13" s="1"/>
  <c r="J122" i="42"/>
  <c r="G43" i="43"/>
  <c r="I43" i="43" s="1"/>
  <c r="G123" i="42"/>
  <c r="D124" i="42"/>
  <c r="H52" i="5"/>
  <c r="H43" i="41"/>
  <c r="I43" i="41" s="1"/>
  <c r="G49" i="23"/>
  <c r="I49" i="23" s="1"/>
  <c r="H52" i="6"/>
  <c r="I52" i="6" s="1"/>
  <c r="H42" i="45"/>
  <c r="I42" i="45" s="1"/>
  <c r="H45" i="30"/>
  <c r="I45" i="30" s="1"/>
  <c r="B47" i="27"/>
  <c r="F47" i="27"/>
  <c r="H47" i="27" s="1"/>
  <c r="G52" i="3"/>
  <c r="I52" i="3" s="1"/>
  <c r="G52" i="8"/>
  <c r="I52" i="8" s="1"/>
  <c r="E43" i="44"/>
  <c r="D43" i="44"/>
  <c r="H54" i="11"/>
  <c r="I54" i="11" s="1"/>
  <c r="G43" i="38"/>
  <c r="I43" i="38" s="1"/>
  <c r="B54" i="9"/>
  <c r="F54" i="9"/>
  <c r="H54" i="9" s="1"/>
  <c r="H52" i="4"/>
  <c r="I52" i="4" s="1"/>
  <c r="I50" i="25"/>
  <c r="H42" i="42"/>
  <c r="I42" i="42" s="1"/>
  <c r="E53" i="6"/>
  <c r="D53" i="6"/>
  <c r="H42" i="44"/>
  <c r="I42" i="44" s="1"/>
  <c r="B129" i="23"/>
  <c r="F129" i="23"/>
  <c r="F133" i="9"/>
  <c r="B133" i="9"/>
  <c r="H131" i="8"/>
  <c r="I131" i="8"/>
  <c r="H130" i="4"/>
  <c r="I130" i="4"/>
  <c r="J130" i="4" s="1"/>
  <c r="H127" i="24"/>
  <c r="I127" i="24"/>
  <c r="F134" i="10"/>
  <c r="B134" i="10"/>
  <c r="I131" i="6"/>
  <c r="H131" i="6"/>
  <c r="I130" i="3"/>
  <c r="H130" i="3"/>
  <c r="I126" i="27"/>
  <c r="J126" i="27" s="1"/>
  <c r="H126" i="27"/>
  <c r="F130" i="22"/>
  <c r="B130" i="22"/>
  <c r="F131" i="5"/>
  <c r="B131" i="5"/>
  <c r="I125" i="28"/>
  <c r="H125" i="28"/>
  <c r="B134" i="7"/>
  <c r="F134" i="7"/>
  <c r="B133" i="11"/>
  <c r="F133" i="11"/>
  <c r="F128" i="24"/>
  <c r="B128" i="24"/>
  <c r="B131" i="3"/>
  <c r="F131" i="3"/>
  <c r="I122" i="37"/>
  <c r="H122" i="37"/>
  <c r="I129" i="22"/>
  <c r="H129" i="22"/>
  <c r="F130" i="25"/>
  <c r="B130" i="25"/>
  <c r="J126" i="29"/>
  <c r="H128" i="23"/>
  <c r="I128" i="23"/>
  <c r="B132" i="6"/>
  <c r="F132" i="6"/>
  <c r="B123" i="40"/>
  <c r="F123" i="40"/>
  <c r="F125" i="30"/>
  <c r="B125" i="30"/>
  <c r="G123" i="38"/>
  <c r="E124" i="38"/>
  <c r="D124" i="38"/>
  <c r="I129" i="25"/>
  <c r="H129" i="25"/>
  <c r="H132" i="9"/>
  <c r="I132" i="9"/>
  <c r="H133" i="10"/>
  <c r="I133" i="10"/>
  <c r="J133" i="10" s="1"/>
  <c r="F126" i="28"/>
  <c r="B126" i="28"/>
  <c r="F132" i="8"/>
  <c r="B132" i="8"/>
  <c r="J122" i="38"/>
  <c r="F131" i="4"/>
  <c r="B131" i="4"/>
  <c r="I122" i="40"/>
  <c r="H122" i="40"/>
  <c r="B123" i="37"/>
  <c r="F123" i="37"/>
  <c r="I124" i="30"/>
  <c r="H124" i="30"/>
  <c r="F127" i="27"/>
  <c r="B127" i="27"/>
  <c r="I130" i="5"/>
  <c r="J130" i="5" s="1"/>
  <c r="H130" i="5"/>
  <c r="I133" i="7"/>
  <c r="H133" i="7"/>
  <c r="H132" i="11"/>
  <c r="I132" i="11"/>
  <c r="G127" i="29"/>
  <c r="D128" i="29"/>
  <c r="E128" i="29"/>
  <c r="J122" i="39"/>
  <c r="I122" i="41"/>
  <c r="H122" i="41"/>
  <c r="H122" i="45"/>
  <c r="I122" i="45"/>
  <c r="D49" i="24"/>
  <c r="E49" i="24"/>
  <c r="D45" i="39"/>
  <c r="E45" i="39"/>
  <c r="B124" i="44"/>
  <c r="B123" i="45"/>
  <c r="F127" i="31"/>
  <c r="B127" i="31"/>
  <c r="E55" i="10"/>
  <c r="D55" i="10"/>
  <c r="E44" i="40"/>
  <c r="D44" i="40"/>
  <c r="E124" i="44"/>
  <c r="F124" i="44" s="1"/>
  <c r="D55" i="11"/>
  <c r="E55" i="11"/>
  <c r="D45" i="13"/>
  <c r="I126" i="31"/>
  <c r="H126" i="31"/>
  <c r="E56" i="7"/>
  <c r="D56" i="7"/>
  <c r="F123" i="43"/>
  <c r="B123" i="43"/>
  <c r="E124" i="39"/>
  <c r="D124" i="39"/>
  <c r="G123" i="39"/>
  <c r="E53" i="8"/>
  <c r="D53" i="8"/>
  <c r="G43" i="40"/>
  <c r="I43" i="40" s="1"/>
  <c r="D53" i="5"/>
  <c r="E53" i="5"/>
  <c r="I123" i="44"/>
  <c r="H123" i="44"/>
  <c r="E47" i="28"/>
  <c r="D47" i="28"/>
  <c r="E51" i="22"/>
  <c r="D51" i="22"/>
  <c r="D43" i="45"/>
  <c r="E43" i="45"/>
  <c r="I55" i="7"/>
  <c r="H122" i="43"/>
  <c r="I122" i="43"/>
  <c r="B48" i="29"/>
  <c r="F48" i="29"/>
  <c r="H48" i="29" s="1"/>
  <c r="H54" i="10"/>
  <c r="I54" i="10" s="1"/>
  <c r="E50" i="23"/>
  <c r="D50" i="23"/>
  <c r="D44" i="37"/>
  <c r="E44" i="37"/>
  <c r="D53" i="4"/>
  <c r="E53" i="4"/>
  <c r="D46" i="30"/>
  <c r="E46" i="30"/>
  <c r="D44" i="41"/>
  <c r="E44" i="41"/>
  <c r="G44" i="13"/>
  <c r="I44" i="13" s="1"/>
  <c r="H46" i="28"/>
  <c r="E44" i="38"/>
  <c r="D44" i="38"/>
  <c r="E51" i="25"/>
  <c r="D51" i="25"/>
  <c r="H48" i="24"/>
  <c r="H50" i="22"/>
  <c r="F46" i="31"/>
  <c r="H46" i="31" s="1"/>
  <c r="B46" i="31"/>
  <c r="G46" i="28"/>
  <c r="E123" i="45"/>
  <c r="F123" i="45" s="1"/>
  <c r="G48" i="24"/>
  <c r="E53" i="3"/>
  <c r="D53" i="3"/>
  <c r="F123" i="41"/>
  <c r="B123" i="41"/>
  <c r="G50" i="22"/>
  <c r="G44" i="39"/>
  <c r="I44" i="39" s="1"/>
  <c r="D43" i="42"/>
  <c r="E43" i="42"/>
  <c r="H43" i="37"/>
  <c r="I43" i="37" s="1"/>
  <c r="D44" i="43"/>
  <c r="E44" i="43"/>
  <c r="B43" i="46" l="1"/>
  <c r="F43" i="46"/>
  <c r="G43" i="46" s="1"/>
  <c r="G54" i="9"/>
  <c r="I54" i="9" s="1"/>
  <c r="E124" i="46"/>
  <c r="F124" i="46" s="1"/>
  <c r="B124" i="46"/>
  <c r="J123" i="13"/>
  <c r="H123" i="46"/>
  <c r="I123" i="46"/>
  <c r="G124" i="13"/>
  <c r="D125" i="13"/>
  <c r="J124" i="30"/>
  <c r="J133" i="7"/>
  <c r="J131" i="6"/>
  <c r="E124" i="42"/>
  <c r="F124" i="42" s="1"/>
  <c r="B124" i="42"/>
  <c r="I123" i="42"/>
  <c r="H123" i="42"/>
  <c r="G48" i="29"/>
  <c r="I48" i="29" s="1"/>
  <c r="J122" i="45"/>
  <c r="I46" i="28"/>
  <c r="J122" i="37"/>
  <c r="D55" i="9"/>
  <c r="E55" i="9"/>
  <c r="B43" i="44"/>
  <c r="F43" i="44"/>
  <c r="H43" i="44" s="1"/>
  <c r="B53" i="6"/>
  <c r="F53" i="6"/>
  <c r="G53" i="6" s="1"/>
  <c r="I48" i="24"/>
  <c r="J122" i="40"/>
  <c r="G47" i="27"/>
  <c r="I47" i="27" s="1"/>
  <c r="E48" i="27"/>
  <c r="D48" i="27"/>
  <c r="H123" i="38"/>
  <c r="I123" i="38"/>
  <c r="E134" i="11"/>
  <c r="D134" i="11"/>
  <c r="G133" i="11"/>
  <c r="G123" i="37"/>
  <c r="E124" i="37"/>
  <c r="D124" i="37"/>
  <c r="G132" i="8"/>
  <c r="E133" i="8"/>
  <c r="D133" i="8"/>
  <c r="J129" i="25"/>
  <c r="D133" i="6"/>
  <c r="E133" i="6"/>
  <c r="G132" i="6"/>
  <c r="J129" i="22"/>
  <c r="J125" i="28"/>
  <c r="D131" i="22"/>
  <c r="G130" i="22"/>
  <c r="E131" i="22"/>
  <c r="J130" i="3"/>
  <c r="E135" i="10"/>
  <c r="D135" i="10"/>
  <c r="G134" i="10"/>
  <c r="G133" i="9"/>
  <c r="D134" i="9"/>
  <c r="E134" i="9"/>
  <c r="G131" i="3"/>
  <c r="D132" i="3"/>
  <c r="E132" i="3"/>
  <c r="E128" i="27"/>
  <c r="G127" i="27"/>
  <c r="D128" i="27"/>
  <c r="E132" i="4"/>
  <c r="G131" i="4"/>
  <c r="D132" i="4"/>
  <c r="F124" i="38"/>
  <c r="B124" i="38"/>
  <c r="E126" i="30"/>
  <c r="G125" i="30"/>
  <c r="D126" i="30"/>
  <c r="D135" i="7"/>
  <c r="G134" i="7"/>
  <c r="E135" i="7"/>
  <c r="J127" i="24"/>
  <c r="J131" i="8"/>
  <c r="E130" i="23"/>
  <c r="D130" i="23"/>
  <c r="G129" i="23"/>
  <c r="J122" i="43"/>
  <c r="D127" i="28"/>
  <c r="G126" i="28"/>
  <c r="E127" i="28"/>
  <c r="G123" i="40"/>
  <c r="D124" i="40"/>
  <c r="E124" i="40"/>
  <c r="J128" i="23"/>
  <c r="G130" i="25"/>
  <c r="E131" i="25"/>
  <c r="D131" i="25"/>
  <c r="E129" i="24"/>
  <c r="G128" i="24"/>
  <c r="D129" i="24"/>
  <c r="D132" i="5"/>
  <c r="G131" i="5"/>
  <c r="E132" i="5"/>
  <c r="J123" i="44"/>
  <c r="F128" i="29"/>
  <c r="B128" i="29"/>
  <c r="H127" i="29"/>
  <c r="I127" i="29"/>
  <c r="B53" i="4"/>
  <c r="F53" i="4"/>
  <c r="B53" i="8"/>
  <c r="F53" i="8"/>
  <c r="J126" i="31"/>
  <c r="J122" i="41"/>
  <c r="F55" i="11"/>
  <c r="G55" i="11" s="1"/>
  <c r="B55" i="11"/>
  <c r="F43" i="45"/>
  <c r="G43" i="45" s="1"/>
  <c r="B43" i="45"/>
  <c r="D124" i="43"/>
  <c r="G123" i="43"/>
  <c r="E124" i="43"/>
  <c r="B45" i="13"/>
  <c r="G124" i="44"/>
  <c r="D125" i="44"/>
  <c r="F53" i="3"/>
  <c r="G53" i="3" s="1"/>
  <c r="B53" i="3"/>
  <c r="B51" i="25"/>
  <c r="F51" i="25"/>
  <c r="B44" i="37"/>
  <c r="F44" i="37"/>
  <c r="H123" i="39"/>
  <c r="I123" i="39"/>
  <c r="E45" i="13"/>
  <c r="F45" i="13" s="1"/>
  <c r="F44" i="40"/>
  <c r="H44" i="40" s="1"/>
  <c r="B44" i="40"/>
  <c r="D124" i="41"/>
  <c r="G123" i="41"/>
  <c r="E124" i="41"/>
  <c r="I50" i="22"/>
  <c r="B51" i="22"/>
  <c r="F51" i="22"/>
  <c r="G51" i="22" s="1"/>
  <c r="F124" i="39"/>
  <c r="B124" i="39"/>
  <c r="B56" i="7"/>
  <c r="F56" i="7"/>
  <c r="H56" i="7" s="1"/>
  <c r="B45" i="39"/>
  <c r="F45" i="39"/>
  <c r="H45" i="39" s="1"/>
  <c r="D124" i="45"/>
  <c r="E124" i="45" s="1"/>
  <c r="G123" i="45"/>
  <c r="D47" i="31"/>
  <c r="E47" i="31"/>
  <c r="F43" i="42"/>
  <c r="H43" i="42" s="1"/>
  <c r="B43" i="42"/>
  <c r="F44" i="38"/>
  <c r="B44" i="38"/>
  <c r="B44" i="41"/>
  <c r="F44" i="41"/>
  <c r="H44" i="41" s="1"/>
  <c r="E49" i="29"/>
  <c r="D49" i="29"/>
  <c r="B49" i="24"/>
  <c r="F49" i="24"/>
  <c r="G49" i="24" s="1"/>
  <c r="B44" i="43"/>
  <c r="F44" i="43"/>
  <c r="H44" i="43" s="1"/>
  <c r="G46" i="31"/>
  <c r="I46" i="31" s="1"/>
  <c r="F50" i="23"/>
  <c r="H50" i="23" s="1"/>
  <c r="B50" i="23"/>
  <c r="B47" i="28"/>
  <c r="F47" i="28"/>
  <c r="G47" i="28" s="1"/>
  <c r="F53" i="5"/>
  <c r="H53" i="5" s="1"/>
  <c r="B53" i="5"/>
  <c r="B55" i="10"/>
  <c r="F55" i="10"/>
  <c r="G55" i="10" s="1"/>
  <c r="G127" i="31"/>
  <c r="D128" i="31"/>
  <c r="E128" i="31"/>
  <c r="B46" i="30"/>
  <c r="F46" i="30"/>
  <c r="G46" i="30" s="1"/>
  <c r="J123" i="46" l="1"/>
  <c r="G53" i="5"/>
  <c r="G56" i="7"/>
  <c r="I56" i="7" s="1"/>
  <c r="H43" i="46"/>
  <c r="I43" i="46" s="1"/>
  <c r="D44" i="46"/>
  <c r="E44" i="46"/>
  <c r="D125" i="46"/>
  <c r="G124" i="46"/>
  <c r="E125" i="13"/>
  <c r="F125" i="13" s="1"/>
  <c r="B125" i="13"/>
  <c r="I124" i="13"/>
  <c r="H124" i="13"/>
  <c r="G45" i="39"/>
  <c r="I45" i="39" s="1"/>
  <c r="G124" i="42"/>
  <c r="D125" i="42"/>
  <c r="J123" i="38"/>
  <c r="J123" i="42"/>
  <c r="H55" i="10"/>
  <c r="I55" i="10" s="1"/>
  <c r="J123" i="39"/>
  <c r="D54" i="6"/>
  <c r="E54" i="6"/>
  <c r="G44" i="41"/>
  <c r="I44" i="41" s="1"/>
  <c r="H53" i="6"/>
  <c r="I53" i="6" s="1"/>
  <c r="G43" i="44"/>
  <c r="I43" i="44" s="1"/>
  <c r="E44" i="44"/>
  <c r="D44" i="44"/>
  <c r="G44" i="43"/>
  <c r="I44" i="43" s="1"/>
  <c r="H51" i="22"/>
  <c r="I51" i="22" s="1"/>
  <c r="B55" i="9"/>
  <c r="F55" i="9"/>
  <c r="H55" i="9" s="1"/>
  <c r="F48" i="27"/>
  <c r="H48" i="27" s="1"/>
  <c r="B48" i="27"/>
  <c r="F132" i="4"/>
  <c r="B132" i="4"/>
  <c r="B134" i="11"/>
  <c r="F134" i="11"/>
  <c r="B129" i="24"/>
  <c r="F129" i="24"/>
  <c r="B124" i="40"/>
  <c r="F124" i="40"/>
  <c r="F127" i="28"/>
  <c r="B127" i="28"/>
  <c r="H134" i="7"/>
  <c r="I134" i="7"/>
  <c r="I131" i="4"/>
  <c r="H131" i="4"/>
  <c r="B135" i="10"/>
  <c r="F135" i="10"/>
  <c r="H130" i="22"/>
  <c r="I130" i="22"/>
  <c r="H132" i="6"/>
  <c r="I132" i="6"/>
  <c r="B133" i="8"/>
  <c r="F133" i="8"/>
  <c r="B131" i="25"/>
  <c r="F131" i="25"/>
  <c r="I126" i="28"/>
  <c r="H126" i="28"/>
  <c r="I127" i="27"/>
  <c r="H127" i="27"/>
  <c r="I134" i="10"/>
  <c r="H134" i="10"/>
  <c r="B124" i="37"/>
  <c r="F124" i="37"/>
  <c r="I128" i="24"/>
  <c r="H128" i="24"/>
  <c r="I130" i="25"/>
  <c r="H130" i="25"/>
  <c r="I123" i="40"/>
  <c r="H123" i="40"/>
  <c r="B135" i="7"/>
  <c r="F135" i="7"/>
  <c r="B134" i="9"/>
  <c r="F134" i="9"/>
  <c r="B131" i="22"/>
  <c r="F131" i="22"/>
  <c r="H123" i="37"/>
  <c r="I123" i="37"/>
  <c r="B132" i="5"/>
  <c r="F132" i="5"/>
  <c r="B130" i="23"/>
  <c r="F130" i="23"/>
  <c r="H125" i="30"/>
  <c r="I125" i="30"/>
  <c r="H131" i="3"/>
  <c r="I131" i="3"/>
  <c r="J127" i="29"/>
  <c r="I131" i="5"/>
  <c r="H131" i="5"/>
  <c r="H129" i="23"/>
  <c r="I129" i="23"/>
  <c r="J129" i="23" s="1"/>
  <c r="F126" i="30"/>
  <c r="B126" i="30"/>
  <c r="D125" i="38"/>
  <c r="G124" i="38"/>
  <c r="E125" i="38"/>
  <c r="F128" i="27"/>
  <c r="B128" i="27"/>
  <c r="B132" i="3"/>
  <c r="F132" i="3"/>
  <c r="I133" i="9"/>
  <c r="H133" i="9"/>
  <c r="F133" i="6"/>
  <c r="B133" i="6"/>
  <c r="H132" i="8"/>
  <c r="I132" i="8"/>
  <c r="I133" i="11"/>
  <c r="H133" i="11"/>
  <c r="G128" i="29"/>
  <c r="E129" i="29"/>
  <c r="D129" i="29"/>
  <c r="D46" i="13"/>
  <c r="G45" i="13"/>
  <c r="H45" i="13"/>
  <c r="F128" i="31"/>
  <c r="B128" i="31"/>
  <c r="E45" i="41"/>
  <c r="D45" i="41"/>
  <c r="H123" i="45"/>
  <c r="I123" i="45"/>
  <c r="D54" i="3"/>
  <c r="E54" i="3"/>
  <c r="I123" i="43"/>
  <c r="H123" i="43"/>
  <c r="D45" i="37"/>
  <c r="E45" i="37"/>
  <c r="B124" i="45"/>
  <c r="F124" i="45"/>
  <c r="E125" i="39"/>
  <c r="G124" i="39"/>
  <c r="D125" i="39"/>
  <c r="D45" i="40"/>
  <c r="E45" i="40"/>
  <c r="D52" i="25"/>
  <c r="E52" i="25"/>
  <c r="B124" i="43"/>
  <c r="F124" i="43"/>
  <c r="E56" i="11"/>
  <c r="D56" i="11"/>
  <c r="E54" i="8"/>
  <c r="D54" i="8"/>
  <c r="H127" i="31"/>
  <c r="I127" i="31"/>
  <c r="D50" i="24"/>
  <c r="E50" i="24"/>
  <c r="D44" i="42"/>
  <c r="E44" i="42"/>
  <c r="I123" i="41"/>
  <c r="H123" i="41"/>
  <c r="G51" i="25"/>
  <c r="D54" i="5"/>
  <c r="E54" i="5"/>
  <c r="G43" i="42"/>
  <c r="I43" i="42" s="1"/>
  <c r="B124" i="41"/>
  <c r="F124" i="41"/>
  <c r="B125" i="44"/>
  <c r="E54" i="4"/>
  <c r="D54" i="4"/>
  <c r="D47" i="30"/>
  <c r="E47" i="30"/>
  <c r="H47" i="28"/>
  <c r="I47" i="28" s="1"/>
  <c r="D51" i="23"/>
  <c r="E51" i="23"/>
  <c r="H51" i="25"/>
  <c r="H124" i="44"/>
  <c r="I124" i="44"/>
  <c r="D44" i="45"/>
  <c r="E44" i="45"/>
  <c r="D45" i="38"/>
  <c r="E45" i="38"/>
  <c r="H46" i="30"/>
  <c r="I46" i="30" s="1"/>
  <c r="H49" i="24"/>
  <c r="I49" i="24" s="1"/>
  <c r="G50" i="23"/>
  <c r="I50" i="23" s="1"/>
  <c r="H44" i="38"/>
  <c r="B47" i="31"/>
  <c r="F47" i="31"/>
  <c r="H47" i="31" s="1"/>
  <c r="D46" i="39"/>
  <c r="E46" i="39"/>
  <c r="E57" i="7"/>
  <c r="D57" i="7"/>
  <c r="D52" i="22"/>
  <c r="E52" i="22"/>
  <c r="H44" i="37"/>
  <c r="H53" i="3"/>
  <c r="I53" i="3" s="1"/>
  <c r="E125" i="44"/>
  <c r="F125" i="44" s="1"/>
  <c r="H43" i="45"/>
  <c r="I43" i="45" s="1"/>
  <c r="G53" i="8"/>
  <c r="G53" i="4"/>
  <c r="E56" i="10"/>
  <c r="D56" i="10"/>
  <c r="D48" i="28"/>
  <c r="E48" i="28"/>
  <c r="D45" i="43"/>
  <c r="E45" i="43"/>
  <c r="B49" i="29"/>
  <c r="F49" i="29"/>
  <c r="G49" i="29" s="1"/>
  <c r="G44" i="38"/>
  <c r="G44" i="40"/>
  <c r="I44" i="40" s="1"/>
  <c r="G44" i="37"/>
  <c r="H55" i="11"/>
  <c r="I55" i="11" s="1"/>
  <c r="H53" i="8"/>
  <c r="H53" i="4"/>
  <c r="B44" i="46" l="1"/>
  <c r="F44" i="46"/>
  <c r="H44" i="46" s="1"/>
  <c r="I53" i="4"/>
  <c r="J124" i="44"/>
  <c r="J124" i="13"/>
  <c r="H124" i="46"/>
  <c r="I124" i="46"/>
  <c r="J124" i="46" s="1"/>
  <c r="E125" i="46"/>
  <c r="F125" i="46"/>
  <c r="B125" i="46"/>
  <c r="D126" i="13"/>
  <c r="G125" i="13"/>
  <c r="J125" i="30"/>
  <c r="J126" i="28"/>
  <c r="J128" i="24"/>
  <c r="J134" i="10"/>
  <c r="J132" i="8"/>
  <c r="J134" i="7"/>
  <c r="J132" i="6"/>
  <c r="J131" i="5"/>
  <c r="I124" i="42"/>
  <c r="H124" i="42"/>
  <c r="B125" i="42"/>
  <c r="E125" i="42"/>
  <c r="F125" i="42" s="1"/>
  <c r="I53" i="8"/>
  <c r="G48" i="27"/>
  <c r="I48" i="27" s="1"/>
  <c r="G55" i="9"/>
  <c r="I55" i="9" s="1"/>
  <c r="I45" i="13"/>
  <c r="J123" i="40"/>
  <c r="I51" i="25"/>
  <c r="E56" i="9"/>
  <c r="D56" i="9"/>
  <c r="F44" i="44"/>
  <c r="G44" i="44" s="1"/>
  <c r="H44" i="44"/>
  <c r="B44" i="44"/>
  <c r="D49" i="27"/>
  <c r="E49" i="27"/>
  <c r="F54" i="6"/>
  <c r="H54" i="6" s="1"/>
  <c r="B54" i="6"/>
  <c r="E133" i="3"/>
  <c r="D133" i="3"/>
  <c r="G132" i="3"/>
  <c r="D127" i="30"/>
  <c r="E127" i="30"/>
  <c r="G126" i="30"/>
  <c r="E132" i="22"/>
  <c r="D132" i="22"/>
  <c r="G131" i="22"/>
  <c r="G133" i="6"/>
  <c r="E134" i="6"/>
  <c r="D134" i="6"/>
  <c r="H124" i="38"/>
  <c r="I124" i="38"/>
  <c r="J130" i="25"/>
  <c r="J127" i="27"/>
  <c r="E136" i="7"/>
  <c r="G135" i="7"/>
  <c r="D136" i="7"/>
  <c r="G134" i="11"/>
  <c r="E135" i="11"/>
  <c r="D135" i="11"/>
  <c r="F125" i="38"/>
  <c r="B125" i="38"/>
  <c r="J131" i="3"/>
  <c r="D131" i="23"/>
  <c r="E131" i="23"/>
  <c r="G130" i="23"/>
  <c r="J123" i="37"/>
  <c r="G134" i="9"/>
  <c r="E135" i="9"/>
  <c r="D135" i="9"/>
  <c r="E134" i="8"/>
  <c r="D134" i="8"/>
  <c r="G133" i="8"/>
  <c r="J130" i="22"/>
  <c r="J155" i="22" s="1"/>
  <c r="D130" i="24"/>
  <c r="G129" i="24"/>
  <c r="E130" i="24"/>
  <c r="E133" i="5"/>
  <c r="D133" i="5"/>
  <c r="G132" i="5"/>
  <c r="D125" i="37"/>
  <c r="E125" i="37"/>
  <c r="G124" i="37"/>
  <c r="G131" i="25"/>
  <c r="D132" i="25"/>
  <c r="E132" i="25"/>
  <c r="G135" i="10"/>
  <c r="D136" i="10"/>
  <c r="E136" i="10"/>
  <c r="D125" i="40"/>
  <c r="E125" i="40"/>
  <c r="G124" i="40"/>
  <c r="D129" i="27"/>
  <c r="E129" i="27"/>
  <c r="G128" i="27"/>
  <c r="J131" i="4"/>
  <c r="E128" i="28"/>
  <c r="G127" i="28"/>
  <c r="D128" i="28"/>
  <c r="G132" i="4"/>
  <c r="D133" i="4"/>
  <c r="E133" i="4"/>
  <c r="J123" i="43"/>
  <c r="H128" i="29"/>
  <c r="I128" i="29"/>
  <c r="F129" i="29"/>
  <c r="B129" i="29"/>
  <c r="G125" i="44"/>
  <c r="D126" i="44"/>
  <c r="B54" i="8"/>
  <c r="F54" i="8"/>
  <c r="G54" i="8" s="1"/>
  <c r="B45" i="40"/>
  <c r="F45" i="40"/>
  <c r="G45" i="40" s="1"/>
  <c r="F54" i="3"/>
  <c r="B54" i="3"/>
  <c r="H49" i="29"/>
  <c r="I49" i="29" s="1"/>
  <c r="F54" i="4"/>
  <c r="H54" i="4" s="1"/>
  <c r="B54" i="4"/>
  <c r="B50" i="24"/>
  <c r="F50" i="24"/>
  <c r="G50" i="24" s="1"/>
  <c r="F56" i="11"/>
  <c r="H56" i="11" s="1"/>
  <c r="B56" i="11"/>
  <c r="B125" i="39"/>
  <c r="F125" i="39"/>
  <c r="F45" i="37"/>
  <c r="H45" i="37" s="1"/>
  <c r="B45" i="37"/>
  <c r="B46" i="13"/>
  <c r="F56" i="10"/>
  <c r="G56" i="10"/>
  <c r="B56" i="10"/>
  <c r="B45" i="38"/>
  <c r="F45" i="38"/>
  <c r="G45" i="38" s="1"/>
  <c r="F44" i="42"/>
  <c r="B44" i="42"/>
  <c r="D125" i="43"/>
  <c r="G124" i="43"/>
  <c r="E125" i="43"/>
  <c r="E46" i="13"/>
  <c r="F46" i="13" s="1"/>
  <c r="F57" i="7"/>
  <c r="G57" i="7" s="1"/>
  <c r="B57" i="7"/>
  <c r="B54" i="5"/>
  <c r="F54" i="5"/>
  <c r="G54" i="5" s="1"/>
  <c r="J123" i="41"/>
  <c r="E129" i="31"/>
  <c r="G128" i="31"/>
  <c r="D129" i="31"/>
  <c r="I44" i="37"/>
  <c r="F46" i="39"/>
  <c r="H46" i="39" s="1"/>
  <c r="B46" i="39"/>
  <c r="B44" i="45"/>
  <c r="F44" i="45"/>
  <c r="G44" i="45" s="1"/>
  <c r="B51" i="23"/>
  <c r="F51" i="23"/>
  <c r="G124" i="41"/>
  <c r="D125" i="41"/>
  <c r="E125" i="41"/>
  <c r="J123" i="45"/>
  <c r="B45" i="43"/>
  <c r="F45" i="43"/>
  <c r="H45" i="43" s="1"/>
  <c r="D50" i="29"/>
  <c r="E50" i="29"/>
  <c r="I44" i="38"/>
  <c r="D48" i="31"/>
  <c r="E48" i="31"/>
  <c r="F47" i="30"/>
  <c r="H47" i="30" s="1"/>
  <c r="B47" i="30"/>
  <c r="J127" i="31"/>
  <c r="B52" i="25"/>
  <c r="F52" i="25"/>
  <c r="H52" i="25" s="1"/>
  <c r="D125" i="45"/>
  <c r="G124" i="45"/>
  <c r="F48" i="28"/>
  <c r="G48" i="28" s="1"/>
  <c r="B48" i="28"/>
  <c r="H124" i="39"/>
  <c r="I124" i="39"/>
  <c r="B52" i="22"/>
  <c r="F52" i="22"/>
  <c r="G52" i="22" s="1"/>
  <c r="G47" i="31"/>
  <c r="I47" i="31" s="1"/>
  <c r="B45" i="41"/>
  <c r="F45" i="41"/>
  <c r="G45" i="41" s="1"/>
  <c r="I44" i="44" l="1"/>
  <c r="G44" i="46"/>
  <c r="I44" i="46" s="1"/>
  <c r="D45" i="46"/>
  <c r="E45" i="46"/>
  <c r="G125" i="46"/>
  <c r="D126" i="46"/>
  <c r="H125" i="13"/>
  <c r="I125" i="13"/>
  <c r="J125" i="13" s="1"/>
  <c r="E126" i="13"/>
  <c r="F126" i="13" s="1"/>
  <c r="B126" i="13"/>
  <c r="H45" i="41"/>
  <c r="I45" i="41" s="1"/>
  <c r="H50" i="24"/>
  <c r="H54" i="5"/>
  <c r="D126" i="42"/>
  <c r="G125" i="42"/>
  <c r="H57" i="7"/>
  <c r="I57" i="7" s="1"/>
  <c r="J124" i="42"/>
  <c r="B56" i="9"/>
  <c r="F56" i="9"/>
  <c r="H56" i="9" s="1"/>
  <c r="G47" i="30"/>
  <c r="I47" i="30" s="1"/>
  <c r="G45" i="37"/>
  <c r="I45" i="37" s="1"/>
  <c r="H45" i="40"/>
  <c r="I45" i="40" s="1"/>
  <c r="H54" i="8"/>
  <c r="I54" i="8" s="1"/>
  <c r="H45" i="38"/>
  <c r="I45" i="38" s="1"/>
  <c r="F49" i="27"/>
  <c r="H49" i="27" s="1"/>
  <c r="B49" i="27"/>
  <c r="J124" i="38"/>
  <c r="G54" i="6"/>
  <c r="I54" i="6" s="1"/>
  <c r="D55" i="6"/>
  <c r="E55" i="6"/>
  <c r="D45" i="44"/>
  <c r="E45" i="44"/>
  <c r="B127" i="30"/>
  <c r="F127" i="30"/>
  <c r="B133" i="4"/>
  <c r="F133" i="4"/>
  <c r="F129" i="27"/>
  <c r="B129" i="27"/>
  <c r="F132" i="25"/>
  <c r="B132" i="25"/>
  <c r="B125" i="37"/>
  <c r="F125" i="37"/>
  <c r="I133" i="8"/>
  <c r="H133" i="8"/>
  <c r="E126" i="38"/>
  <c r="G125" i="38"/>
  <c r="D126" i="38"/>
  <c r="B136" i="7"/>
  <c r="F136" i="7"/>
  <c r="H132" i="3"/>
  <c r="I132" i="3"/>
  <c r="J132" i="3" s="1"/>
  <c r="B125" i="40"/>
  <c r="F125" i="40"/>
  <c r="F135" i="9"/>
  <c r="B135" i="9"/>
  <c r="I130" i="23"/>
  <c r="H130" i="23"/>
  <c r="H134" i="11"/>
  <c r="I134" i="11"/>
  <c r="F132" i="22"/>
  <c r="B132" i="22"/>
  <c r="I132" i="4"/>
  <c r="H132" i="4"/>
  <c r="I124" i="40"/>
  <c r="H124" i="40"/>
  <c r="F136" i="10"/>
  <c r="B136" i="10"/>
  <c r="H131" i="25"/>
  <c r="I131" i="25"/>
  <c r="I132" i="5"/>
  <c r="H132" i="5"/>
  <c r="H129" i="24"/>
  <c r="I129" i="24"/>
  <c r="F134" i="8"/>
  <c r="B134" i="8"/>
  <c r="I134" i="9"/>
  <c r="H134" i="9"/>
  <c r="F131" i="23"/>
  <c r="B131" i="23"/>
  <c r="B135" i="11"/>
  <c r="F135" i="11"/>
  <c r="H135" i="7"/>
  <c r="I135" i="7"/>
  <c r="J135" i="7" s="1"/>
  <c r="I133" i="6"/>
  <c r="J133" i="6" s="1"/>
  <c r="H133" i="6"/>
  <c r="I126" i="30"/>
  <c r="H126" i="30"/>
  <c r="B133" i="3"/>
  <c r="F133" i="3"/>
  <c r="I127" i="28"/>
  <c r="H127" i="28"/>
  <c r="F134" i="6"/>
  <c r="B134" i="6"/>
  <c r="J124" i="39"/>
  <c r="F128" i="28"/>
  <c r="B128" i="28"/>
  <c r="H128" i="27"/>
  <c r="I128" i="27"/>
  <c r="H135" i="10"/>
  <c r="I135" i="10"/>
  <c r="J135" i="10" s="1"/>
  <c r="H124" i="37"/>
  <c r="I124" i="37"/>
  <c r="F133" i="5"/>
  <c r="B133" i="5"/>
  <c r="B130" i="24"/>
  <c r="F130" i="24"/>
  <c r="H131" i="22"/>
  <c r="I131" i="22"/>
  <c r="E130" i="29"/>
  <c r="G129" i="29"/>
  <c r="D130" i="29"/>
  <c r="J128" i="29"/>
  <c r="D47" i="13"/>
  <c r="E47" i="13" s="1"/>
  <c r="H46" i="13"/>
  <c r="G46" i="13"/>
  <c r="D55" i="3"/>
  <c r="E55" i="3"/>
  <c r="G52" i="25"/>
  <c r="I52" i="25" s="1"/>
  <c r="F48" i="31"/>
  <c r="G48" i="31" s="1"/>
  <c r="B48" i="31"/>
  <c r="E46" i="43"/>
  <c r="D46" i="43"/>
  <c r="D55" i="4"/>
  <c r="E55" i="4"/>
  <c r="G54" i="3"/>
  <c r="B129" i="31"/>
  <c r="F129" i="31"/>
  <c r="D57" i="11"/>
  <c r="E57" i="11"/>
  <c r="D45" i="45"/>
  <c r="E45" i="45"/>
  <c r="D53" i="22"/>
  <c r="E53" i="22"/>
  <c r="G45" i="43"/>
  <c r="I45" i="43" s="1"/>
  <c r="I124" i="41"/>
  <c r="H124" i="41"/>
  <c r="H44" i="45"/>
  <c r="I44" i="45" s="1"/>
  <c r="I128" i="31"/>
  <c r="H128" i="31"/>
  <c r="H124" i="43"/>
  <c r="I124" i="43"/>
  <c r="D57" i="10"/>
  <c r="E57" i="10"/>
  <c r="I50" i="24"/>
  <c r="E55" i="8"/>
  <c r="D55" i="8"/>
  <c r="B125" i="45"/>
  <c r="D45" i="42"/>
  <c r="E45" i="42"/>
  <c r="H52" i="22"/>
  <c r="I52" i="22" s="1"/>
  <c r="E52" i="23"/>
  <c r="D52" i="23"/>
  <c r="F125" i="43"/>
  <c r="B125" i="43"/>
  <c r="H56" i="10"/>
  <c r="I56" i="10" s="1"/>
  <c r="D46" i="37"/>
  <c r="E46" i="37"/>
  <c r="D51" i="24"/>
  <c r="E51" i="24"/>
  <c r="D46" i="40"/>
  <c r="E46" i="40"/>
  <c r="D53" i="25"/>
  <c r="E53" i="25"/>
  <c r="G125" i="39"/>
  <c r="E126" i="39"/>
  <c r="D126" i="39"/>
  <c r="B126" i="44"/>
  <c r="F125" i="41"/>
  <c r="B125" i="41"/>
  <c r="E125" i="45"/>
  <c r="F125" i="45" s="1"/>
  <c r="F50" i="29"/>
  <c r="H50" i="29" s="1"/>
  <c r="B50" i="29"/>
  <c r="G51" i="23"/>
  <c r="D47" i="39"/>
  <c r="E47" i="39"/>
  <c r="G44" i="42"/>
  <c r="H125" i="44"/>
  <c r="I125" i="44"/>
  <c r="D49" i="28"/>
  <c r="E49" i="28"/>
  <c r="D46" i="41"/>
  <c r="E46" i="41"/>
  <c r="H48" i="28"/>
  <c r="I48" i="28" s="1"/>
  <c r="I124" i="45"/>
  <c r="H124" i="45"/>
  <c r="D48" i="30"/>
  <c r="E48" i="30"/>
  <c r="H51" i="23"/>
  <c r="G46" i="39"/>
  <c r="I46" i="39" s="1"/>
  <c r="D55" i="5"/>
  <c r="E55" i="5"/>
  <c r="D58" i="7"/>
  <c r="E58" i="7"/>
  <c r="H44" i="42"/>
  <c r="D46" i="38"/>
  <c r="E46" i="38"/>
  <c r="G56" i="11"/>
  <c r="I56" i="11" s="1"/>
  <c r="G54" i="4"/>
  <c r="I54" i="4" s="1"/>
  <c r="H54" i="3"/>
  <c r="E126" i="44"/>
  <c r="F126" i="44" s="1"/>
  <c r="F45" i="46" l="1"/>
  <c r="B45" i="46"/>
  <c r="G45" i="46"/>
  <c r="H45" i="46"/>
  <c r="I45" i="46" s="1"/>
  <c r="E126" i="46"/>
  <c r="F126" i="46" s="1"/>
  <c r="B126" i="46"/>
  <c r="H125" i="46"/>
  <c r="I125" i="46"/>
  <c r="G126" i="13"/>
  <c r="D127" i="13"/>
  <c r="B127" i="13" s="1"/>
  <c r="E127" i="13"/>
  <c r="F127" i="13" s="1"/>
  <c r="G127" i="13" s="1"/>
  <c r="J130" i="23"/>
  <c r="J155" i="23" s="1"/>
  <c r="I54" i="3"/>
  <c r="H125" i="42"/>
  <c r="I125" i="42"/>
  <c r="J125" i="42" s="1"/>
  <c r="H48" i="31"/>
  <c r="I48" i="31" s="1"/>
  <c r="E126" i="42"/>
  <c r="F126" i="42" s="1"/>
  <c r="B126" i="42"/>
  <c r="G56" i="9"/>
  <c r="I56" i="9" s="1"/>
  <c r="G50" i="29"/>
  <c r="I50" i="29" s="1"/>
  <c r="B55" i="6"/>
  <c r="F55" i="6"/>
  <c r="H55" i="6" s="1"/>
  <c r="B45" i="44"/>
  <c r="F45" i="44"/>
  <c r="D50" i="27"/>
  <c r="E50" i="27"/>
  <c r="J124" i="40"/>
  <c r="G49" i="27"/>
  <c r="I49" i="27" s="1"/>
  <c r="D57" i="9"/>
  <c r="E57" i="9"/>
  <c r="E129" i="28"/>
  <c r="G128" i="28"/>
  <c r="D129" i="28"/>
  <c r="B126" i="38"/>
  <c r="F126" i="38"/>
  <c r="J133" i="8"/>
  <c r="D133" i="25"/>
  <c r="E133" i="25"/>
  <c r="G132" i="25"/>
  <c r="G132" i="22"/>
  <c r="D133" i="22"/>
  <c r="E133" i="22"/>
  <c r="G133" i="4"/>
  <c r="E134" i="4"/>
  <c r="D134" i="4"/>
  <c r="D134" i="5"/>
  <c r="E134" i="5"/>
  <c r="G133" i="5"/>
  <c r="G130" i="24"/>
  <c r="E131" i="24"/>
  <c r="D131" i="24"/>
  <c r="J124" i="37"/>
  <c r="J128" i="27"/>
  <c r="J127" i="28"/>
  <c r="J126" i="30"/>
  <c r="E132" i="23"/>
  <c r="G131" i="23"/>
  <c r="D132" i="23"/>
  <c r="G134" i="8"/>
  <c r="E135" i="8"/>
  <c r="D135" i="8"/>
  <c r="J132" i="5"/>
  <c r="G136" i="10"/>
  <c r="E137" i="10"/>
  <c r="D137" i="10"/>
  <c r="J132" i="4"/>
  <c r="D136" i="9"/>
  <c r="E136" i="9"/>
  <c r="G135" i="9"/>
  <c r="H125" i="38"/>
  <c r="I125" i="38"/>
  <c r="D126" i="37"/>
  <c r="G125" i="37"/>
  <c r="E126" i="37"/>
  <c r="G127" i="30"/>
  <c r="E128" i="30"/>
  <c r="D128" i="30"/>
  <c r="E135" i="6"/>
  <c r="D135" i="6"/>
  <c r="G134" i="6"/>
  <c r="J124" i="43"/>
  <c r="G133" i="3"/>
  <c r="E134" i="3"/>
  <c r="D134" i="3"/>
  <c r="D136" i="11"/>
  <c r="G135" i="11"/>
  <c r="E136" i="11"/>
  <c r="J129" i="24"/>
  <c r="J131" i="25"/>
  <c r="E126" i="40"/>
  <c r="D126" i="40"/>
  <c r="G125" i="40"/>
  <c r="E137" i="7"/>
  <c r="D137" i="7"/>
  <c r="G136" i="7"/>
  <c r="E130" i="27"/>
  <c r="D130" i="27"/>
  <c r="G129" i="27"/>
  <c r="B130" i="29"/>
  <c r="F130" i="29"/>
  <c r="H129" i="29"/>
  <c r="I129" i="29"/>
  <c r="G125" i="45"/>
  <c r="D126" i="45"/>
  <c r="E126" i="45" s="1"/>
  <c r="G126" i="44"/>
  <c r="D127" i="44"/>
  <c r="B58" i="7"/>
  <c r="F58" i="7"/>
  <c r="G58" i="7" s="1"/>
  <c r="F48" i="30"/>
  <c r="H48" i="30" s="1"/>
  <c r="B48" i="30"/>
  <c r="F53" i="25"/>
  <c r="H53" i="25" s="1"/>
  <c r="B53" i="25"/>
  <c r="F51" i="24"/>
  <c r="G51" i="24" s="1"/>
  <c r="B51" i="24"/>
  <c r="B55" i="3"/>
  <c r="F55" i="3"/>
  <c r="H55" i="3" s="1"/>
  <c r="F46" i="40"/>
  <c r="H46" i="40" s="1"/>
  <c r="B46" i="40"/>
  <c r="B55" i="8"/>
  <c r="F55" i="8"/>
  <c r="B53" i="22"/>
  <c r="F53" i="22"/>
  <c r="H53" i="22" s="1"/>
  <c r="D130" i="31"/>
  <c r="G129" i="31"/>
  <c r="E130" i="31"/>
  <c r="F55" i="4"/>
  <c r="G55" i="4" s="1"/>
  <c r="B55" i="4"/>
  <c r="D49" i="31"/>
  <c r="E49" i="31"/>
  <c r="F55" i="5"/>
  <c r="G55" i="5" s="1"/>
  <c r="B55" i="5"/>
  <c r="D126" i="41"/>
  <c r="G125" i="41"/>
  <c r="E126" i="41"/>
  <c r="B46" i="41"/>
  <c r="F46" i="41"/>
  <c r="H46" i="41" s="1"/>
  <c r="B126" i="39"/>
  <c r="F126" i="39"/>
  <c r="F46" i="37"/>
  <c r="G46" i="37" s="1"/>
  <c r="B46" i="37"/>
  <c r="J128" i="31"/>
  <c r="I46" i="13"/>
  <c r="J124" i="45"/>
  <c r="I51" i="23"/>
  <c r="J125" i="44"/>
  <c r="D51" i="29"/>
  <c r="E51" i="29"/>
  <c r="G125" i="43"/>
  <c r="D126" i="43"/>
  <c r="E126" i="43"/>
  <c r="F57" i="11"/>
  <c r="G57" i="11" s="1"/>
  <c r="B57" i="11"/>
  <c r="H125" i="39"/>
  <c r="I125" i="39"/>
  <c r="F52" i="23"/>
  <c r="H52" i="23" s="1"/>
  <c r="B52" i="23"/>
  <c r="F57" i="10"/>
  <c r="G57" i="10" s="1"/>
  <c r="B57" i="10"/>
  <c r="B46" i="43"/>
  <c r="F46" i="43"/>
  <c r="H46" i="43" s="1"/>
  <c r="B47" i="13"/>
  <c r="F47" i="13"/>
  <c r="H47" i="13" s="1"/>
  <c r="B46" i="38"/>
  <c r="F46" i="38"/>
  <c r="B49" i="28"/>
  <c r="F49" i="28"/>
  <c r="H49" i="28" s="1"/>
  <c r="I44" i="42"/>
  <c r="J124" i="41"/>
  <c r="F45" i="45"/>
  <c r="G45" i="45" s="1"/>
  <c r="B45" i="45"/>
  <c r="F47" i="39"/>
  <c r="G47" i="39" s="1"/>
  <c r="B47" i="39"/>
  <c r="B45" i="42"/>
  <c r="F45" i="42"/>
  <c r="H45" i="42" s="1"/>
  <c r="G47" i="13" l="1"/>
  <c r="H58" i="7"/>
  <c r="D46" i="46"/>
  <c r="E46" i="46"/>
  <c r="D128" i="13"/>
  <c r="E128" i="13" s="1"/>
  <c r="G126" i="46"/>
  <c r="D127" i="46"/>
  <c r="J125" i="46"/>
  <c r="J129" i="29"/>
  <c r="I126" i="13"/>
  <c r="H126" i="13"/>
  <c r="G46" i="43"/>
  <c r="I46" i="43" s="1"/>
  <c r="H45" i="45"/>
  <c r="I45" i="45" s="1"/>
  <c r="G53" i="25"/>
  <c r="I53" i="25" s="1"/>
  <c r="H55" i="4"/>
  <c r="I55" i="4" s="1"/>
  <c r="G126" i="42"/>
  <c r="D127" i="42"/>
  <c r="B127" i="42" s="1"/>
  <c r="E127" i="42"/>
  <c r="G46" i="41"/>
  <c r="I46" i="41" s="1"/>
  <c r="I47" i="13"/>
  <c r="G53" i="22"/>
  <c r="I53" i="22" s="1"/>
  <c r="F50" i="27"/>
  <c r="H50" i="27" s="1"/>
  <c r="B50" i="27"/>
  <c r="H45" i="44"/>
  <c r="D46" i="44"/>
  <c r="E46" i="44"/>
  <c r="H57" i="10"/>
  <c r="I57" i="10" s="1"/>
  <c r="G46" i="40"/>
  <c r="I46" i="40" s="1"/>
  <c r="I58" i="7"/>
  <c r="B57" i="9"/>
  <c r="F57" i="9"/>
  <c r="G55" i="6"/>
  <c r="I55" i="6" s="1"/>
  <c r="E56" i="6"/>
  <c r="D56" i="6"/>
  <c r="G45" i="42"/>
  <c r="I45" i="42" s="1"/>
  <c r="H57" i="11"/>
  <c r="I57" i="11" s="1"/>
  <c r="G55" i="3"/>
  <c r="I55" i="3" s="1"/>
  <c r="G45" i="44"/>
  <c r="F137" i="7"/>
  <c r="B137" i="7"/>
  <c r="H135" i="11"/>
  <c r="I135" i="11"/>
  <c r="H133" i="3"/>
  <c r="I133" i="3"/>
  <c r="B132" i="23"/>
  <c r="F132" i="23"/>
  <c r="F134" i="5"/>
  <c r="B134" i="5"/>
  <c r="F130" i="27"/>
  <c r="B130" i="27"/>
  <c r="F136" i="11"/>
  <c r="B136" i="11"/>
  <c r="B128" i="30"/>
  <c r="F128" i="30"/>
  <c r="I125" i="37"/>
  <c r="H125" i="37"/>
  <c r="H135" i="9"/>
  <c r="I135" i="9"/>
  <c r="F137" i="10"/>
  <c r="B137" i="10"/>
  <c r="B135" i="8"/>
  <c r="F135" i="8"/>
  <c r="H131" i="23"/>
  <c r="I131" i="23"/>
  <c r="H130" i="24"/>
  <c r="I130" i="24"/>
  <c r="J130" i="24" s="1"/>
  <c r="J155" i="24" s="1"/>
  <c r="B134" i="4"/>
  <c r="F134" i="4"/>
  <c r="F133" i="22"/>
  <c r="B133" i="22"/>
  <c r="B133" i="25"/>
  <c r="F133" i="25"/>
  <c r="F129" i="28"/>
  <c r="B129" i="28"/>
  <c r="I125" i="40"/>
  <c r="H125" i="40"/>
  <c r="F134" i="3"/>
  <c r="B134" i="3"/>
  <c r="H134" i="6"/>
  <c r="I134" i="6"/>
  <c r="F126" i="37"/>
  <c r="B126" i="37"/>
  <c r="I133" i="5"/>
  <c r="H133" i="5"/>
  <c r="I132" i="22"/>
  <c r="H132" i="22"/>
  <c r="I128" i="28"/>
  <c r="H128" i="28"/>
  <c r="I129" i="27"/>
  <c r="H129" i="27"/>
  <c r="H136" i="7"/>
  <c r="I136" i="7"/>
  <c r="B126" i="40"/>
  <c r="F126" i="40"/>
  <c r="B135" i="6"/>
  <c r="F135" i="6"/>
  <c r="H127" i="30"/>
  <c r="I127" i="30"/>
  <c r="J125" i="38"/>
  <c r="F136" i="9"/>
  <c r="B136" i="9"/>
  <c r="I136" i="10"/>
  <c r="J136" i="10" s="1"/>
  <c r="H136" i="10"/>
  <c r="I134" i="8"/>
  <c r="H134" i="8"/>
  <c r="F131" i="24"/>
  <c r="B131" i="24"/>
  <c r="I133" i="4"/>
  <c r="H133" i="4"/>
  <c r="I132" i="25"/>
  <c r="H132" i="25"/>
  <c r="E127" i="38"/>
  <c r="G126" i="38"/>
  <c r="D127" i="38"/>
  <c r="D131" i="29"/>
  <c r="G130" i="29"/>
  <c r="E131" i="29"/>
  <c r="J125" i="39"/>
  <c r="D48" i="13"/>
  <c r="G52" i="23"/>
  <c r="I52" i="23" s="1"/>
  <c r="D47" i="37"/>
  <c r="E47" i="37"/>
  <c r="H55" i="5"/>
  <c r="G48" i="30"/>
  <c r="I48" i="30" s="1"/>
  <c r="B127" i="44"/>
  <c r="G49" i="28"/>
  <c r="I49" i="28" s="1"/>
  <c r="H46" i="37"/>
  <c r="I46" i="37" s="1"/>
  <c r="D47" i="41"/>
  <c r="E47" i="41"/>
  <c r="D56" i="4"/>
  <c r="E56" i="4"/>
  <c r="I126" i="44"/>
  <c r="H126" i="44"/>
  <c r="H51" i="24"/>
  <c r="I51" i="24" s="1"/>
  <c r="D54" i="25"/>
  <c r="E54" i="25"/>
  <c r="H127" i="13"/>
  <c r="I127" i="13"/>
  <c r="E47" i="38"/>
  <c r="D47" i="38"/>
  <c r="D49" i="30"/>
  <c r="E49" i="30"/>
  <c r="D48" i="39"/>
  <c r="E48" i="39"/>
  <c r="G46" i="38"/>
  <c r="I129" i="31"/>
  <c r="H129" i="31"/>
  <c r="D56" i="8"/>
  <c r="E56" i="8"/>
  <c r="D59" i="7"/>
  <c r="E59" i="7"/>
  <c r="D58" i="11"/>
  <c r="E58" i="11"/>
  <c r="H46" i="38"/>
  <c r="F126" i="43"/>
  <c r="B126" i="43"/>
  <c r="H125" i="41"/>
  <c r="I125" i="41"/>
  <c r="B130" i="31"/>
  <c r="F130" i="31"/>
  <c r="D47" i="40"/>
  <c r="E47" i="40"/>
  <c r="D53" i="23"/>
  <c r="E53" i="23"/>
  <c r="D56" i="5"/>
  <c r="E56" i="5"/>
  <c r="E52" i="24"/>
  <c r="D52" i="24"/>
  <c r="H47" i="39"/>
  <c r="I47" i="39" s="1"/>
  <c r="D46" i="42"/>
  <c r="E46" i="42"/>
  <c r="D47" i="43"/>
  <c r="E47" i="43"/>
  <c r="D58" i="10"/>
  <c r="E58" i="10"/>
  <c r="I125" i="43"/>
  <c r="H125" i="43"/>
  <c r="D127" i="39"/>
  <c r="G126" i="39"/>
  <c r="E127" i="39"/>
  <c r="B126" i="41"/>
  <c r="F126" i="41"/>
  <c r="F49" i="31"/>
  <c r="H49" i="31" s="1"/>
  <c r="B49" i="31"/>
  <c r="D54" i="22"/>
  <c r="E54" i="22"/>
  <c r="H55" i="8"/>
  <c r="F126" i="45"/>
  <c r="B126" i="45"/>
  <c r="E46" i="45"/>
  <c r="D46" i="45"/>
  <c r="E50" i="28"/>
  <c r="D50" i="28"/>
  <c r="B51" i="29"/>
  <c r="F51" i="29"/>
  <c r="H51" i="29" s="1"/>
  <c r="G55" i="8"/>
  <c r="D56" i="3"/>
  <c r="E56" i="3"/>
  <c r="E127" i="44"/>
  <c r="F127" i="44" s="1"/>
  <c r="I125" i="45"/>
  <c r="H125" i="45"/>
  <c r="F128" i="13" l="1"/>
  <c r="B128" i="13"/>
  <c r="F46" i="46"/>
  <c r="H46" i="46" s="1"/>
  <c r="B46" i="46"/>
  <c r="E127" i="46"/>
  <c r="B127" i="46"/>
  <c r="F127" i="46"/>
  <c r="J126" i="13"/>
  <c r="I126" i="46"/>
  <c r="H126" i="46"/>
  <c r="J136" i="7"/>
  <c r="J134" i="6"/>
  <c r="F127" i="42"/>
  <c r="J127" i="30"/>
  <c r="J132" i="25"/>
  <c r="J155" i="25" s="1"/>
  <c r="J133" i="3"/>
  <c r="I126" i="42"/>
  <c r="H126" i="42"/>
  <c r="I45" i="44"/>
  <c r="E58" i="9"/>
  <c r="D58" i="9"/>
  <c r="G49" i="31"/>
  <c r="I49" i="31" s="1"/>
  <c r="H57" i="9"/>
  <c r="B56" i="6"/>
  <c r="F56" i="6"/>
  <c r="H56" i="6" s="1"/>
  <c r="G57" i="9"/>
  <c r="F46" i="44"/>
  <c r="H46" i="44" s="1"/>
  <c r="B46" i="44"/>
  <c r="G50" i="27"/>
  <c r="I50" i="27" s="1"/>
  <c r="E51" i="27"/>
  <c r="D51" i="27"/>
  <c r="D127" i="40"/>
  <c r="E127" i="40"/>
  <c r="G126" i="40"/>
  <c r="E136" i="8"/>
  <c r="G135" i="8"/>
  <c r="D136" i="8"/>
  <c r="H126" i="38"/>
  <c r="I126" i="38"/>
  <c r="J129" i="27"/>
  <c r="E127" i="37"/>
  <c r="D127" i="37"/>
  <c r="G126" i="37"/>
  <c r="E135" i="3"/>
  <c r="G134" i="3"/>
  <c r="D135" i="3"/>
  <c r="E130" i="28"/>
  <c r="D130" i="28"/>
  <c r="G129" i="28"/>
  <c r="D134" i="22"/>
  <c r="G133" i="22"/>
  <c r="E134" i="22"/>
  <c r="D131" i="27"/>
  <c r="E131" i="27"/>
  <c r="G130" i="27"/>
  <c r="B127" i="38"/>
  <c r="F127" i="38"/>
  <c r="D132" i="24"/>
  <c r="G131" i="24"/>
  <c r="E132" i="24"/>
  <c r="G128" i="30"/>
  <c r="E129" i="30"/>
  <c r="D129" i="30"/>
  <c r="J133" i="4"/>
  <c r="J134" i="8"/>
  <c r="E137" i="9"/>
  <c r="D137" i="9"/>
  <c r="G136" i="9"/>
  <c r="E136" i="6"/>
  <c r="G135" i="6"/>
  <c r="D136" i="6"/>
  <c r="E134" i="25"/>
  <c r="D134" i="25"/>
  <c r="G133" i="25"/>
  <c r="G134" i="4"/>
  <c r="D135" i="4"/>
  <c r="E135" i="4"/>
  <c r="E133" i="23"/>
  <c r="G132" i="23"/>
  <c r="D133" i="23"/>
  <c r="J128" i="28"/>
  <c r="J133" i="5"/>
  <c r="J125" i="40"/>
  <c r="D138" i="10"/>
  <c r="E138" i="10"/>
  <c r="G137" i="10"/>
  <c r="J125" i="37"/>
  <c r="E137" i="11"/>
  <c r="G136" i="11"/>
  <c r="D137" i="11"/>
  <c r="E135" i="5"/>
  <c r="G134" i="5"/>
  <c r="D135" i="5"/>
  <c r="D138" i="7"/>
  <c r="E138" i="7"/>
  <c r="G137" i="7"/>
  <c r="J127" i="13"/>
  <c r="H130" i="29"/>
  <c r="I130" i="29"/>
  <c r="B131" i="29"/>
  <c r="F131" i="29"/>
  <c r="D128" i="44"/>
  <c r="E128" i="44" s="1"/>
  <c r="G127" i="44"/>
  <c r="G126" i="45"/>
  <c r="D127" i="45"/>
  <c r="E127" i="45" s="1"/>
  <c r="B54" i="22"/>
  <c r="F54" i="22"/>
  <c r="H54" i="22" s="1"/>
  <c r="I126" i="39"/>
  <c r="H126" i="39"/>
  <c r="J125" i="41"/>
  <c r="I46" i="38"/>
  <c r="F54" i="25"/>
  <c r="G54" i="25" s="1"/>
  <c r="B54" i="25"/>
  <c r="J126" i="44"/>
  <c r="F49" i="30"/>
  <c r="G49" i="30" s="1"/>
  <c r="B49" i="30"/>
  <c r="B48" i="39"/>
  <c r="F48" i="39"/>
  <c r="H48" i="39" s="1"/>
  <c r="B52" i="24"/>
  <c r="F52" i="24"/>
  <c r="H52" i="24" s="1"/>
  <c r="G128" i="13"/>
  <c r="D129" i="13"/>
  <c r="E129" i="13" s="1"/>
  <c r="F47" i="38"/>
  <c r="H47" i="38" s="1"/>
  <c r="B47" i="38"/>
  <c r="B56" i="4"/>
  <c r="F56" i="4"/>
  <c r="G56" i="4" s="1"/>
  <c r="B47" i="37"/>
  <c r="F47" i="37"/>
  <c r="G47" i="37" s="1"/>
  <c r="D52" i="29"/>
  <c r="E52" i="29"/>
  <c r="G51" i="29"/>
  <c r="I51" i="29" s="1"/>
  <c r="B46" i="42"/>
  <c r="F46" i="42"/>
  <c r="G46" i="42" s="1"/>
  <c r="B56" i="8"/>
  <c r="F56" i="8"/>
  <c r="H56" i="8" s="1"/>
  <c r="B48" i="13"/>
  <c r="B47" i="43"/>
  <c r="F47" i="43"/>
  <c r="H47" i="43" s="1"/>
  <c r="G126" i="43"/>
  <c r="D127" i="43"/>
  <c r="E127" i="43"/>
  <c r="B127" i="39"/>
  <c r="F127" i="39"/>
  <c r="B58" i="11"/>
  <c r="F58" i="11"/>
  <c r="F47" i="41"/>
  <c r="G47" i="41" s="1"/>
  <c r="B47" i="41"/>
  <c r="E48" i="13"/>
  <c r="F48" i="13" s="1"/>
  <c r="B56" i="3"/>
  <c r="F56" i="3"/>
  <c r="H56" i="3" s="1"/>
  <c r="D50" i="31"/>
  <c r="E50" i="31"/>
  <c r="G126" i="41"/>
  <c r="D127" i="41"/>
  <c r="E127" i="41"/>
  <c r="F58" i="10"/>
  <c r="G58" i="10" s="1"/>
  <c r="B58" i="10"/>
  <c r="B56" i="5"/>
  <c r="F56" i="5"/>
  <c r="G56" i="5" s="1"/>
  <c r="B47" i="40"/>
  <c r="F47" i="40"/>
  <c r="H47" i="40" s="1"/>
  <c r="F59" i="7"/>
  <c r="B59" i="7"/>
  <c r="J129" i="31"/>
  <c r="F53" i="23"/>
  <c r="G53" i="23" s="1"/>
  <c r="B53" i="23"/>
  <c r="F46" i="45"/>
  <c r="H46" i="45" s="1"/>
  <c r="B46" i="45"/>
  <c r="J125" i="43"/>
  <c r="J125" i="45"/>
  <c r="B50" i="28"/>
  <c r="F50" i="28"/>
  <c r="G50" i="28" s="1"/>
  <c r="I55" i="8"/>
  <c r="E131" i="31"/>
  <c r="G130" i="31"/>
  <c r="D131" i="31"/>
  <c r="G46" i="46" l="1"/>
  <c r="I46" i="46" s="1"/>
  <c r="D47" i="46"/>
  <c r="E47" i="46"/>
  <c r="G127" i="46"/>
  <c r="D128" i="46"/>
  <c r="J126" i="46"/>
  <c r="J126" i="42"/>
  <c r="G127" i="42"/>
  <c r="D128" i="42"/>
  <c r="H58" i="10"/>
  <c r="I58" i="10" s="1"/>
  <c r="H46" i="42"/>
  <c r="I46" i="42" s="1"/>
  <c r="G56" i="3"/>
  <c r="I56" i="3" s="1"/>
  <c r="J126" i="38"/>
  <c r="G48" i="39"/>
  <c r="I48" i="39" s="1"/>
  <c r="H50" i="28"/>
  <c r="I50" i="28" s="1"/>
  <c r="I57" i="9"/>
  <c r="H47" i="41"/>
  <c r="I47" i="41" s="1"/>
  <c r="G52" i="24"/>
  <c r="I52" i="24" s="1"/>
  <c r="D47" i="44"/>
  <c r="E47" i="44"/>
  <c r="G56" i="6"/>
  <c r="I56" i="6" s="1"/>
  <c r="D57" i="6"/>
  <c r="E57" i="6"/>
  <c r="B58" i="9"/>
  <c r="F58" i="9"/>
  <c r="H58" i="9" s="1"/>
  <c r="B51" i="27"/>
  <c r="F51" i="27"/>
  <c r="G51" i="27" s="1"/>
  <c r="G47" i="40"/>
  <c r="I47" i="40" s="1"/>
  <c r="G46" i="44"/>
  <c r="I46" i="44" s="1"/>
  <c r="H132" i="23"/>
  <c r="I132" i="23"/>
  <c r="F136" i="6"/>
  <c r="B136" i="6"/>
  <c r="H131" i="24"/>
  <c r="I131" i="24"/>
  <c r="I133" i="22"/>
  <c r="H133" i="22"/>
  <c r="B138" i="7"/>
  <c r="F138" i="7"/>
  <c r="F137" i="11"/>
  <c r="B137" i="11"/>
  <c r="H137" i="10"/>
  <c r="I137" i="10"/>
  <c r="H133" i="25"/>
  <c r="I133" i="25"/>
  <c r="H135" i="6"/>
  <c r="I135" i="6"/>
  <c r="F132" i="24"/>
  <c r="B132" i="24"/>
  <c r="B134" i="22"/>
  <c r="F134" i="22"/>
  <c r="B135" i="3"/>
  <c r="F135" i="3"/>
  <c r="B127" i="37"/>
  <c r="F127" i="37"/>
  <c r="H126" i="40"/>
  <c r="I126" i="40"/>
  <c r="F137" i="9"/>
  <c r="B137" i="9"/>
  <c r="B135" i="5"/>
  <c r="F135" i="5"/>
  <c r="H136" i="11"/>
  <c r="I136" i="11"/>
  <c r="F134" i="25"/>
  <c r="B134" i="25"/>
  <c r="H128" i="30"/>
  <c r="I128" i="30"/>
  <c r="E128" i="38"/>
  <c r="D128" i="38"/>
  <c r="G127" i="38"/>
  <c r="F131" i="27"/>
  <c r="B131" i="27"/>
  <c r="H129" i="28"/>
  <c r="I129" i="28"/>
  <c r="H134" i="3"/>
  <c r="I134" i="3"/>
  <c r="B136" i="8"/>
  <c r="F136" i="8"/>
  <c r="H134" i="4"/>
  <c r="I134" i="4"/>
  <c r="B129" i="30"/>
  <c r="F129" i="30"/>
  <c r="H130" i="27"/>
  <c r="I130" i="27"/>
  <c r="I126" i="37"/>
  <c r="H126" i="37"/>
  <c r="H137" i="7"/>
  <c r="I137" i="7"/>
  <c r="I134" i="5"/>
  <c r="H134" i="5"/>
  <c r="B138" i="10"/>
  <c r="F138" i="10"/>
  <c r="B133" i="23"/>
  <c r="F133" i="23"/>
  <c r="F135" i="4"/>
  <c r="B135" i="4"/>
  <c r="H136" i="9"/>
  <c r="I136" i="9"/>
  <c r="F130" i="28"/>
  <c r="B130" i="28"/>
  <c r="I135" i="8"/>
  <c r="H135" i="8"/>
  <c r="B127" i="40"/>
  <c r="F127" i="40"/>
  <c r="J126" i="39"/>
  <c r="G131" i="29"/>
  <c r="E132" i="29"/>
  <c r="D132" i="29"/>
  <c r="J130" i="29"/>
  <c r="D49" i="13"/>
  <c r="H48" i="13"/>
  <c r="G48" i="13"/>
  <c r="F127" i="41"/>
  <c r="B127" i="41"/>
  <c r="H126" i="41"/>
  <c r="I126" i="41"/>
  <c r="D59" i="11"/>
  <c r="E59" i="11" s="1"/>
  <c r="I126" i="43"/>
  <c r="H126" i="43"/>
  <c r="D57" i="8"/>
  <c r="E57" i="8"/>
  <c r="F52" i="29"/>
  <c r="B52" i="29"/>
  <c r="E48" i="38"/>
  <c r="D48" i="38"/>
  <c r="D55" i="25"/>
  <c r="E55" i="25"/>
  <c r="D55" i="22"/>
  <c r="E55" i="22"/>
  <c r="F50" i="31"/>
  <c r="G50" i="31" s="1"/>
  <c r="B50" i="31"/>
  <c r="E50" i="30"/>
  <c r="D50" i="30"/>
  <c r="H58" i="11"/>
  <c r="E57" i="4"/>
  <c r="D57" i="4"/>
  <c r="D53" i="24"/>
  <c r="E53" i="24"/>
  <c r="G54" i="22"/>
  <c r="I54" i="22" s="1"/>
  <c r="B127" i="43"/>
  <c r="F127" i="43"/>
  <c r="D47" i="45"/>
  <c r="E47" i="45"/>
  <c r="E48" i="43"/>
  <c r="D48" i="43"/>
  <c r="D48" i="37"/>
  <c r="E48" i="37"/>
  <c r="F129" i="13"/>
  <c r="B129" i="13"/>
  <c r="D57" i="5"/>
  <c r="E57" i="5"/>
  <c r="G58" i="11"/>
  <c r="I128" i="13"/>
  <c r="H128" i="13"/>
  <c r="I127" i="44"/>
  <c r="H127" i="44"/>
  <c r="D60" i="7"/>
  <c r="E60" i="7" s="1"/>
  <c r="D51" i="28"/>
  <c r="E51" i="28"/>
  <c r="G59" i="7"/>
  <c r="D48" i="40"/>
  <c r="E48" i="40"/>
  <c r="D57" i="3"/>
  <c r="E57" i="3"/>
  <c r="D128" i="39"/>
  <c r="G127" i="39"/>
  <c r="E128" i="39"/>
  <c r="G47" i="43"/>
  <c r="I47" i="43" s="1"/>
  <c r="D47" i="42"/>
  <c r="E47" i="42"/>
  <c r="H47" i="37"/>
  <c r="I47" i="37" s="1"/>
  <c r="H56" i="4"/>
  <c r="I56" i="4" s="1"/>
  <c r="D49" i="39"/>
  <c r="E49" i="39"/>
  <c r="F127" i="45"/>
  <c r="B127" i="45"/>
  <c r="G46" i="45"/>
  <c r="I46" i="45" s="1"/>
  <c r="B131" i="31"/>
  <c r="F131" i="31"/>
  <c r="H59" i="7"/>
  <c r="D59" i="10"/>
  <c r="E59" i="10"/>
  <c r="D48" i="41"/>
  <c r="E48" i="41"/>
  <c r="I126" i="45"/>
  <c r="H126" i="45"/>
  <c r="F128" i="44"/>
  <c r="B128" i="44"/>
  <c r="D54" i="23"/>
  <c r="E54" i="23"/>
  <c r="H130" i="31"/>
  <c r="I130" i="31"/>
  <c r="H53" i="23"/>
  <c r="I53" i="23" s="1"/>
  <c r="H56" i="5"/>
  <c r="G56" i="8"/>
  <c r="I56" i="8" s="1"/>
  <c r="G47" i="38"/>
  <c r="I47" i="38" s="1"/>
  <c r="H49" i="30"/>
  <c r="I49" i="30" s="1"/>
  <c r="H54" i="25"/>
  <c r="I54" i="25" s="1"/>
  <c r="F47" i="46" l="1"/>
  <c r="B47" i="46"/>
  <c r="G47" i="46"/>
  <c r="E128" i="46"/>
  <c r="F128" i="46" s="1"/>
  <c r="B128" i="46"/>
  <c r="I127" i="46"/>
  <c r="H127" i="46"/>
  <c r="J128" i="30"/>
  <c r="J137" i="10"/>
  <c r="E128" i="42"/>
  <c r="F128" i="42" s="1"/>
  <c r="B128" i="42"/>
  <c r="I127" i="42"/>
  <c r="H127" i="42"/>
  <c r="J135" i="8"/>
  <c r="J135" i="6"/>
  <c r="J134" i="5"/>
  <c r="H50" i="31"/>
  <c r="I50" i="31" s="1"/>
  <c r="J126" i="40"/>
  <c r="J126" i="37"/>
  <c r="I59" i="7"/>
  <c r="B57" i="6"/>
  <c r="F57" i="6"/>
  <c r="E52" i="27"/>
  <c r="D52" i="27"/>
  <c r="E59" i="9"/>
  <c r="D59" i="9"/>
  <c r="J126" i="45"/>
  <c r="H51" i="27"/>
  <c r="I51" i="27" s="1"/>
  <c r="G58" i="9"/>
  <c r="I58" i="9" s="1"/>
  <c r="B47" i="44"/>
  <c r="F47" i="44"/>
  <c r="G47" i="44" s="1"/>
  <c r="F128" i="38"/>
  <c r="B128" i="38"/>
  <c r="E136" i="5"/>
  <c r="D136" i="5"/>
  <c r="G135" i="5"/>
  <c r="D128" i="40"/>
  <c r="G127" i="40"/>
  <c r="E128" i="40"/>
  <c r="D139" i="10"/>
  <c r="G138" i="10"/>
  <c r="E139" i="10"/>
  <c r="J137" i="7"/>
  <c r="J130" i="27"/>
  <c r="J134" i="4"/>
  <c r="J134" i="3"/>
  <c r="E135" i="25"/>
  <c r="D135" i="25"/>
  <c r="G134" i="25"/>
  <c r="E133" i="24"/>
  <c r="G132" i="24"/>
  <c r="D133" i="24"/>
  <c r="D138" i="11"/>
  <c r="E138" i="11"/>
  <c r="G137" i="11"/>
  <c r="G136" i="6"/>
  <c r="D137" i="6"/>
  <c r="E137" i="6"/>
  <c r="G130" i="28"/>
  <c r="E131" i="28"/>
  <c r="D131" i="28"/>
  <c r="D136" i="4"/>
  <c r="E136" i="4"/>
  <c r="G135" i="4"/>
  <c r="E132" i="27"/>
  <c r="G131" i="27"/>
  <c r="D132" i="27"/>
  <c r="D128" i="37"/>
  <c r="E128" i="37"/>
  <c r="G127" i="37"/>
  <c r="E135" i="22"/>
  <c r="G134" i="22"/>
  <c r="D135" i="22"/>
  <c r="G138" i="7"/>
  <c r="E139" i="7"/>
  <c r="D139" i="7"/>
  <c r="D136" i="3"/>
  <c r="E136" i="3"/>
  <c r="G135" i="3"/>
  <c r="D134" i="23"/>
  <c r="G133" i="23"/>
  <c r="E134" i="23"/>
  <c r="D130" i="30"/>
  <c r="G129" i="30"/>
  <c r="E130" i="30"/>
  <c r="D137" i="8"/>
  <c r="E137" i="8"/>
  <c r="G136" i="8"/>
  <c r="J129" i="28"/>
  <c r="I127" i="38"/>
  <c r="H127" i="38"/>
  <c r="D138" i="9"/>
  <c r="E138" i="9"/>
  <c r="G137" i="9"/>
  <c r="H131" i="29"/>
  <c r="I131" i="29"/>
  <c r="J126" i="43"/>
  <c r="J128" i="13"/>
  <c r="B132" i="29"/>
  <c r="F132" i="29"/>
  <c r="D53" i="29"/>
  <c r="E53" i="29"/>
  <c r="D128" i="41"/>
  <c r="G127" i="41"/>
  <c r="E128" i="41"/>
  <c r="B54" i="23"/>
  <c r="F54" i="23"/>
  <c r="H54" i="23" s="1"/>
  <c r="J127" i="44"/>
  <c r="F48" i="43"/>
  <c r="H48" i="43" s="1"/>
  <c r="B48" i="43"/>
  <c r="D51" i="31"/>
  <c r="E51" i="31"/>
  <c r="H52" i="29"/>
  <c r="F57" i="5"/>
  <c r="G57" i="5" s="1"/>
  <c r="B57" i="5"/>
  <c r="F59" i="11"/>
  <c r="G59" i="11" s="1"/>
  <c r="B59" i="11"/>
  <c r="J130" i="31"/>
  <c r="F59" i="10"/>
  <c r="G59" i="10" s="1"/>
  <c r="B59" i="10"/>
  <c r="D128" i="45"/>
  <c r="E128" i="45" s="1"/>
  <c r="G127" i="45"/>
  <c r="F49" i="39"/>
  <c r="H49" i="39" s="1"/>
  <c r="B49" i="39"/>
  <c r="H127" i="39"/>
  <c r="I127" i="39"/>
  <c r="I58" i="11"/>
  <c r="I48" i="13"/>
  <c r="F50" i="30"/>
  <c r="G50" i="30" s="1"/>
  <c r="B50" i="30"/>
  <c r="F55" i="22"/>
  <c r="H55" i="22" s="1"/>
  <c r="B55" i="22"/>
  <c r="B48" i="38"/>
  <c r="F48" i="38"/>
  <c r="H48" i="38" s="1"/>
  <c r="F57" i="8"/>
  <c r="G57" i="8" s="1"/>
  <c r="B57" i="8"/>
  <c r="B49" i="13"/>
  <c r="F57" i="3"/>
  <c r="G57" i="3" s="1"/>
  <c r="B57" i="3"/>
  <c r="F55" i="25"/>
  <c r="G55" i="25" s="1"/>
  <c r="B55" i="25"/>
  <c r="F51" i="28"/>
  <c r="G51" i="28" s="1"/>
  <c r="B51" i="28"/>
  <c r="D128" i="43"/>
  <c r="G127" i="43"/>
  <c r="E128" i="43"/>
  <c r="B48" i="41"/>
  <c r="F48" i="41"/>
  <c r="H48" i="41" s="1"/>
  <c r="G131" i="31"/>
  <c r="E132" i="31"/>
  <c r="D132" i="31"/>
  <c r="B60" i="7"/>
  <c r="F60" i="7"/>
  <c r="H60" i="7" s="1"/>
  <c r="G129" i="13"/>
  <c r="D130" i="13"/>
  <c r="E49" i="13"/>
  <c r="F49" i="13" s="1"/>
  <c r="B57" i="4"/>
  <c r="F57" i="4"/>
  <c r="G57" i="4" s="1"/>
  <c r="B128" i="39"/>
  <c r="F128" i="39"/>
  <c r="B47" i="45"/>
  <c r="F47" i="45"/>
  <c r="H47" i="45" s="1"/>
  <c r="J126" i="41"/>
  <c r="G128" i="44"/>
  <c r="D129" i="44"/>
  <c r="E129" i="44" s="1"/>
  <c r="B48" i="40"/>
  <c r="F48" i="40"/>
  <c r="G48" i="40" s="1"/>
  <c r="F47" i="42"/>
  <c r="H47" i="42" s="1"/>
  <c r="B47" i="42"/>
  <c r="B48" i="37"/>
  <c r="F48" i="37"/>
  <c r="G48" i="37" s="1"/>
  <c r="B53" i="24"/>
  <c r="F53" i="24"/>
  <c r="G53" i="24" s="1"/>
  <c r="G52" i="29"/>
  <c r="J127" i="46" l="1"/>
  <c r="H59" i="10"/>
  <c r="D48" i="46"/>
  <c r="E48" i="46"/>
  <c r="H47" i="46"/>
  <c r="I47" i="46" s="1"/>
  <c r="D129" i="46"/>
  <c r="G128" i="46"/>
  <c r="J127" i="42"/>
  <c r="D129" i="42"/>
  <c r="G128" i="42"/>
  <c r="H57" i="5"/>
  <c r="H57" i="3"/>
  <c r="I57" i="3" s="1"/>
  <c r="G47" i="45"/>
  <c r="I47" i="45" s="1"/>
  <c r="H59" i="11"/>
  <c r="I59" i="11" s="1"/>
  <c r="G47" i="42"/>
  <c r="I47" i="42" s="1"/>
  <c r="H53" i="24"/>
  <c r="I53" i="24" s="1"/>
  <c r="H57" i="6"/>
  <c r="E58" i="6"/>
  <c r="D58" i="6"/>
  <c r="G49" i="39"/>
  <c r="I49" i="39" s="1"/>
  <c r="G54" i="23"/>
  <c r="I54" i="23" s="1"/>
  <c r="G57" i="6"/>
  <c r="B59" i="9"/>
  <c r="F59" i="9"/>
  <c r="H59" i="9" s="1"/>
  <c r="H48" i="37"/>
  <c r="I48" i="37" s="1"/>
  <c r="H48" i="40"/>
  <c r="I48" i="40" s="1"/>
  <c r="H55" i="25"/>
  <c r="I55" i="25" s="1"/>
  <c r="G48" i="38"/>
  <c r="I48" i="38" s="1"/>
  <c r="H47" i="44"/>
  <c r="I47" i="44" s="1"/>
  <c r="D48" i="44"/>
  <c r="E48" i="44"/>
  <c r="F52" i="27"/>
  <c r="H52" i="27" s="1"/>
  <c r="B52" i="27"/>
  <c r="F130" i="30"/>
  <c r="B130" i="30"/>
  <c r="H135" i="3"/>
  <c r="I135" i="3"/>
  <c r="F132" i="27"/>
  <c r="B132" i="27"/>
  <c r="I130" i="28"/>
  <c r="H130" i="28"/>
  <c r="I137" i="11"/>
  <c r="H137" i="11"/>
  <c r="I132" i="24"/>
  <c r="H132" i="24"/>
  <c r="F136" i="5"/>
  <c r="B136" i="5"/>
  <c r="H137" i="9"/>
  <c r="I137" i="9"/>
  <c r="J127" i="38"/>
  <c r="F137" i="8"/>
  <c r="B137" i="8"/>
  <c r="I138" i="7"/>
  <c r="H138" i="7"/>
  <c r="I127" i="37"/>
  <c r="H127" i="37"/>
  <c r="H131" i="27"/>
  <c r="I131" i="27"/>
  <c r="B136" i="4"/>
  <c r="F136" i="4"/>
  <c r="H127" i="40"/>
  <c r="I127" i="40"/>
  <c r="H133" i="23"/>
  <c r="I133" i="23"/>
  <c r="B136" i="3"/>
  <c r="F136" i="3"/>
  <c r="F135" i="22"/>
  <c r="B135" i="22"/>
  <c r="F131" i="28"/>
  <c r="B131" i="28"/>
  <c r="F137" i="6"/>
  <c r="B137" i="6"/>
  <c r="F138" i="11"/>
  <c r="B138" i="11"/>
  <c r="I134" i="25"/>
  <c r="H134" i="25"/>
  <c r="I138" i="10"/>
  <c r="H138" i="10"/>
  <c r="B128" i="40"/>
  <c r="F128" i="40"/>
  <c r="J131" i="29"/>
  <c r="B138" i="9"/>
  <c r="F138" i="9"/>
  <c r="H136" i="8"/>
  <c r="I136" i="8"/>
  <c r="H129" i="30"/>
  <c r="I129" i="30"/>
  <c r="F134" i="23"/>
  <c r="B134" i="23"/>
  <c r="F139" i="7"/>
  <c r="B139" i="7"/>
  <c r="I134" i="22"/>
  <c r="H134" i="22"/>
  <c r="F128" i="37"/>
  <c r="B128" i="37"/>
  <c r="I135" i="4"/>
  <c r="H135" i="4"/>
  <c r="I136" i="6"/>
  <c r="H136" i="6"/>
  <c r="F133" i="24"/>
  <c r="B133" i="24"/>
  <c r="F135" i="25"/>
  <c r="B135" i="25"/>
  <c r="B139" i="10"/>
  <c r="F139" i="10"/>
  <c r="I135" i="5"/>
  <c r="H135" i="5"/>
  <c r="E129" i="38"/>
  <c r="D129" i="38"/>
  <c r="G128" i="38"/>
  <c r="D133" i="29"/>
  <c r="G132" i="29"/>
  <c r="E133" i="29"/>
  <c r="D50" i="13"/>
  <c r="E50" i="13" s="1"/>
  <c r="G49" i="13"/>
  <c r="H49" i="13"/>
  <c r="B130" i="13"/>
  <c r="I129" i="13"/>
  <c r="H129" i="13"/>
  <c r="G60" i="7"/>
  <c r="I60" i="7" s="1"/>
  <c r="D52" i="28"/>
  <c r="E52" i="28"/>
  <c r="I59" i="10"/>
  <c r="D60" i="11"/>
  <c r="E60" i="11" s="1"/>
  <c r="I127" i="41"/>
  <c r="H127" i="41"/>
  <c r="E130" i="13"/>
  <c r="F130" i="13" s="1"/>
  <c r="H131" i="31"/>
  <c r="I131" i="31"/>
  <c r="J131" i="31" s="1"/>
  <c r="H51" i="28"/>
  <c r="I51" i="28" s="1"/>
  <c r="D58" i="3"/>
  <c r="E58" i="3"/>
  <c r="H57" i="8"/>
  <c r="I57" i="8" s="1"/>
  <c r="G55" i="22"/>
  <c r="I55" i="22" s="1"/>
  <c r="D60" i="10"/>
  <c r="E60" i="10" s="1"/>
  <c r="B128" i="41"/>
  <c r="F128" i="41"/>
  <c r="D129" i="39"/>
  <c r="G128" i="39"/>
  <c r="E129" i="39"/>
  <c r="D50" i="39"/>
  <c r="E50" i="39"/>
  <c r="I52" i="29"/>
  <c r="E49" i="43"/>
  <c r="D49" i="43"/>
  <c r="D48" i="42"/>
  <c r="E48" i="42"/>
  <c r="E49" i="41"/>
  <c r="D49" i="41"/>
  <c r="D58" i="8"/>
  <c r="E58" i="8"/>
  <c r="D56" i="22"/>
  <c r="E56" i="22"/>
  <c r="G48" i="43"/>
  <c r="I48" i="43" s="1"/>
  <c r="F53" i="29"/>
  <c r="H53" i="29" s="1"/>
  <c r="B53" i="29"/>
  <c r="H128" i="44"/>
  <c r="I128" i="44"/>
  <c r="F132" i="31"/>
  <c r="B132" i="31"/>
  <c r="E51" i="30"/>
  <c r="D51" i="30"/>
  <c r="D49" i="37"/>
  <c r="E49" i="37"/>
  <c r="D49" i="40"/>
  <c r="E49" i="40"/>
  <c r="E58" i="4"/>
  <c r="D58" i="4"/>
  <c r="I127" i="43"/>
  <c r="H127" i="43"/>
  <c r="H50" i="30"/>
  <c r="I50" i="30" s="1"/>
  <c r="I127" i="45"/>
  <c r="H127" i="45"/>
  <c r="F51" i="31"/>
  <c r="H51" i="31" s="1"/>
  <c r="B51" i="31"/>
  <c r="D61" i="7"/>
  <c r="D54" i="24"/>
  <c r="E54" i="24"/>
  <c r="B129" i="44"/>
  <c r="F129" i="44"/>
  <c r="D48" i="45"/>
  <c r="E48" i="45"/>
  <c r="H57" i="4"/>
  <c r="I57" i="4" s="1"/>
  <c r="G48" i="41"/>
  <c r="I48" i="41" s="1"/>
  <c r="B128" i="43"/>
  <c r="F128" i="43"/>
  <c r="D56" i="25"/>
  <c r="E56" i="25"/>
  <c r="D49" i="38"/>
  <c r="E49" i="38"/>
  <c r="J127" i="39"/>
  <c r="B128" i="45"/>
  <c r="F128" i="45"/>
  <c r="E58" i="5"/>
  <c r="D58" i="5"/>
  <c r="D55" i="23"/>
  <c r="E55" i="23"/>
  <c r="F48" i="46" l="1"/>
  <c r="B48" i="46"/>
  <c r="G48" i="46"/>
  <c r="H48" i="46"/>
  <c r="I48" i="46" s="1"/>
  <c r="H128" i="46"/>
  <c r="I128" i="46"/>
  <c r="J128" i="46" s="1"/>
  <c r="B129" i="46"/>
  <c r="F129" i="46"/>
  <c r="E129" i="46"/>
  <c r="J136" i="8"/>
  <c r="J135" i="3"/>
  <c r="I128" i="42"/>
  <c r="H128" i="42"/>
  <c r="E129" i="42"/>
  <c r="F129" i="42" s="1"/>
  <c r="B129" i="42"/>
  <c r="J129" i="30"/>
  <c r="J138" i="10"/>
  <c r="J138" i="7"/>
  <c r="G51" i="31"/>
  <c r="I51" i="31" s="1"/>
  <c r="I49" i="13"/>
  <c r="G53" i="29"/>
  <c r="I53" i="29" s="1"/>
  <c r="J129" i="13"/>
  <c r="D60" i="9"/>
  <c r="I57" i="6"/>
  <c r="E53" i="27"/>
  <c r="D53" i="27"/>
  <c r="F48" i="44"/>
  <c r="B48" i="44"/>
  <c r="J127" i="37"/>
  <c r="G52" i="27"/>
  <c r="I52" i="27" s="1"/>
  <c r="G59" i="9"/>
  <c r="I59" i="9" s="1"/>
  <c r="B58" i="6"/>
  <c r="F58" i="6"/>
  <c r="G58" i="6" s="1"/>
  <c r="B129" i="38"/>
  <c r="F129" i="38"/>
  <c r="E139" i="11"/>
  <c r="G138" i="11"/>
  <c r="D139" i="11"/>
  <c r="D132" i="28"/>
  <c r="G131" i="28"/>
  <c r="E132" i="28"/>
  <c r="D134" i="24"/>
  <c r="E134" i="24"/>
  <c r="G133" i="24"/>
  <c r="J135" i="4"/>
  <c r="E135" i="23"/>
  <c r="D135" i="23"/>
  <c r="G134" i="23"/>
  <c r="E129" i="40"/>
  <c r="G128" i="40"/>
  <c r="D129" i="40"/>
  <c r="D137" i="4"/>
  <c r="E137" i="4"/>
  <c r="G136" i="4"/>
  <c r="J130" i="28"/>
  <c r="G139" i="10"/>
  <c r="E140" i="10"/>
  <c r="D140" i="10"/>
  <c r="D139" i="9"/>
  <c r="G138" i="9"/>
  <c r="E139" i="9"/>
  <c r="D138" i="6"/>
  <c r="E138" i="6"/>
  <c r="G137" i="6"/>
  <c r="D136" i="22"/>
  <c r="G135" i="22"/>
  <c r="E136" i="22"/>
  <c r="G137" i="8"/>
  <c r="D138" i="8"/>
  <c r="E138" i="8"/>
  <c r="H128" i="38"/>
  <c r="I128" i="38"/>
  <c r="J135" i="5"/>
  <c r="E136" i="25"/>
  <c r="G135" i="25"/>
  <c r="D136" i="25"/>
  <c r="J136" i="6"/>
  <c r="G128" i="37"/>
  <c r="D129" i="37"/>
  <c r="E129" i="37"/>
  <c r="G139" i="7"/>
  <c r="E140" i="7"/>
  <c r="D140" i="7"/>
  <c r="G136" i="3"/>
  <c r="E137" i="3"/>
  <c r="D137" i="3"/>
  <c r="J127" i="40"/>
  <c r="J131" i="27"/>
  <c r="E137" i="5"/>
  <c r="G136" i="5"/>
  <c r="D137" i="5"/>
  <c r="E133" i="27"/>
  <c r="D133" i="27"/>
  <c r="G132" i="27"/>
  <c r="E131" i="30"/>
  <c r="G130" i="30"/>
  <c r="D131" i="30"/>
  <c r="I132" i="29"/>
  <c r="H132" i="29"/>
  <c r="B133" i="29"/>
  <c r="F133" i="29"/>
  <c r="J128" i="44"/>
  <c r="G130" i="13"/>
  <c r="D131" i="13"/>
  <c r="F54" i="24"/>
  <c r="H54" i="24" s="1"/>
  <c r="B54" i="24"/>
  <c r="F55" i="23"/>
  <c r="G55" i="23" s="1"/>
  <c r="H55" i="23"/>
  <c r="B55" i="23"/>
  <c r="F48" i="45"/>
  <c r="B48" i="45"/>
  <c r="B58" i="4"/>
  <c r="F58" i="4"/>
  <c r="H58" i="4" s="1"/>
  <c r="B56" i="22"/>
  <c r="F56" i="22"/>
  <c r="G56" i="22" s="1"/>
  <c r="B50" i="39"/>
  <c r="F50" i="39"/>
  <c r="G50" i="39" s="1"/>
  <c r="I128" i="39"/>
  <c r="H128" i="39"/>
  <c r="J127" i="41"/>
  <c r="F52" i="28"/>
  <c r="H52" i="28" s="1"/>
  <c r="B52" i="28"/>
  <c r="B61" i="7"/>
  <c r="B49" i="38"/>
  <c r="F49" i="38"/>
  <c r="G49" i="38" s="1"/>
  <c r="B58" i="8"/>
  <c r="F58" i="8"/>
  <c r="H58" i="8" s="1"/>
  <c r="G128" i="41"/>
  <c r="D129" i="41"/>
  <c r="E129" i="41"/>
  <c r="F60" i="10"/>
  <c r="H60" i="10" s="1"/>
  <c r="B60" i="10"/>
  <c r="F58" i="5"/>
  <c r="G58" i="5" s="1"/>
  <c r="B58" i="5"/>
  <c r="B48" i="42"/>
  <c r="F48" i="42"/>
  <c r="G48" i="42" s="1"/>
  <c r="B58" i="3"/>
  <c r="F58" i="3"/>
  <c r="H58" i="3" s="1"/>
  <c r="F51" i="30"/>
  <c r="G51" i="30" s="1"/>
  <c r="B51" i="30"/>
  <c r="D129" i="43"/>
  <c r="G128" i="43"/>
  <c r="E129" i="43"/>
  <c r="D52" i="31"/>
  <c r="E52" i="31"/>
  <c r="B49" i="43"/>
  <c r="F49" i="43"/>
  <c r="H49" i="43" s="1"/>
  <c r="F60" i="11"/>
  <c r="H60" i="11" s="1"/>
  <c r="B60" i="11"/>
  <c r="D54" i="29"/>
  <c r="E54" i="29"/>
  <c r="B56" i="25"/>
  <c r="F56" i="25"/>
  <c r="H56" i="25" s="1"/>
  <c r="G129" i="44"/>
  <c r="D130" i="44"/>
  <c r="G128" i="45"/>
  <c r="D129" i="45"/>
  <c r="E129" i="45" s="1"/>
  <c r="B49" i="40"/>
  <c r="F49" i="40"/>
  <c r="G49" i="40" s="1"/>
  <c r="B50" i="13"/>
  <c r="F50" i="13"/>
  <c r="F49" i="37"/>
  <c r="B49" i="37"/>
  <c r="F129" i="39"/>
  <c r="B129" i="39"/>
  <c r="J127" i="43"/>
  <c r="F49" i="41"/>
  <c r="B49" i="41"/>
  <c r="E61" i="7"/>
  <c r="F61" i="7" s="1"/>
  <c r="J127" i="45"/>
  <c r="G132" i="31"/>
  <c r="D133" i="31"/>
  <c r="E133" i="31"/>
  <c r="G58" i="4" l="1"/>
  <c r="E49" i="46"/>
  <c r="D49" i="46"/>
  <c r="D130" i="46"/>
  <c r="G129" i="46"/>
  <c r="D130" i="42"/>
  <c r="G129" i="42"/>
  <c r="J128" i="42"/>
  <c r="H49" i="40"/>
  <c r="I49" i="40" s="1"/>
  <c r="G54" i="24"/>
  <c r="I54" i="24" s="1"/>
  <c r="H48" i="42"/>
  <c r="I48" i="42" s="1"/>
  <c r="G52" i="28"/>
  <c r="I52" i="28" s="1"/>
  <c r="H56" i="22"/>
  <c r="I56" i="22" s="1"/>
  <c r="B53" i="27"/>
  <c r="F53" i="27"/>
  <c r="H53" i="27" s="1"/>
  <c r="G56" i="25"/>
  <c r="I56" i="25" s="1"/>
  <c r="G60" i="10"/>
  <c r="I60" i="10" s="1"/>
  <c r="I58" i="4"/>
  <c r="E59" i="6"/>
  <c r="D59" i="6"/>
  <c r="H48" i="44"/>
  <c r="E49" i="44"/>
  <c r="D49" i="44"/>
  <c r="B60" i="9"/>
  <c r="H58" i="6"/>
  <c r="I58" i="6" s="1"/>
  <c r="G48" i="44"/>
  <c r="E60" i="9"/>
  <c r="F60" i="9" s="1"/>
  <c r="B133" i="27"/>
  <c r="F133" i="27"/>
  <c r="B136" i="22"/>
  <c r="F136" i="22"/>
  <c r="H138" i="11"/>
  <c r="I138" i="11"/>
  <c r="I130" i="30"/>
  <c r="H130" i="30"/>
  <c r="I136" i="3"/>
  <c r="H136" i="3"/>
  <c r="B136" i="25"/>
  <c r="F136" i="25"/>
  <c r="J128" i="38"/>
  <c r="I137" i="8"/>
  <c r="H137" i="8"/>
  <c r="H137" i="6"/>
  <c r="I137" i="6"/>
  <c r="I138" i="9"/>
  <c r="H138" i="9"/>
  <c r="H139" i="10"/>
  <c r="I139" i="10"/>
  <c r="F137" i="4"/>
  <c r="B137" i="4"/>
  <c r="I134" i="23"/>
  <c r="H134" i="23"/>
  <c r="H133" i="24"/>
  <c r="I133" i="24"/>
  <c r="H131" i="28"/>
  <c r="I131" i="28"/>
  <c r="F131" i="30"/>
  <c r="B131" i="30"/>
  <c r="F137" i="5"/>
  <c r="B137" i="5"/>
  <c r="F140" i="7"/>
  <c r="B140" i="7"/>
  <c r="B129" i="37"/>
  <c r="F129" i="37"/>
  <c r="I135" i="25"/>
  <c r="H135" i="25"/>
  <c r="B139" i="9"/>
  <c r="F139" i="9"/>
  <c r="F129" i="40"/>
  <c r="B129" i="40"/>
  <c r="F135" i="23"/>
  <c r="B135" i="23"/>
  <c r="F132" i="28"/>
  <c r="B132" i="28"/>
  <c r="D130" i="38"/>
  <c r="G129" i="38"/>
  <c r="E130" i="38"/>
  <c r="H139" i="7"/>
  <c r="I139" i="7"/>
  <c r="B138" i="8"/>
  <c r="F138" i="8"/>
  <c r="J132" i="29"/>
  <c r="H132" i="27"/>
  <c r="I132" i="27"/>
  <c r="H136" i="5"/>
  <c r="I136" i="5"/>
  <c r="J136" i="5" s="1"/>
  <c r="F137" i="3"/>
  <c r="B137" i="3"/>
  <c r="I128" i="37"/>
  <c r="H128" i="37"/>
  <c r="I135" i="22"/>
  <c r="H135" i="22"/>
  <c r="B138" i="6"/>
  <c r="F138" i="6"/>
  <c r="F140" i="10"/>
  <c r="B140" i="10"/>
  <c r="H136" i="4"/>
  <c r="I136" i="4"/>
  <c r="J136" i="4" s="1"/>
  <c r="H128" i="40"/>
  <c r="I128" i="40"/>
  <c r="F134" i="24"/>
  <c r="B134" i="24"/>
  <c r="B139" i="11"/>
  <c r="F139" i="11"/>
  <c r="G133" i="29"/>
  <c r="E134" i="29"/>
  <c r="D134" i="29"/>
  <c r="D62" i="7"/>
  <c r="E62" i="7" s="1"/>
  <c r="G61" i="7"/>
  <c r="H61" i="7"/>
  <c r="D50" i="41"/>
  <c r="E50" i="41"/>
  <c r="D49" i="45"/>
  <c r="E49" i="45"/>
  <c r="D51" i="13"/>
  <c r="I129" i="44"/>
  <c r="H129" i="44"/>
  <c r="D52" i="30"/>
  <c r="E52" i="30"/>
  <c r="I128" i="41"/>
  <c r="H128" i="41"/>
  <c r="D59" i="8"/>
  <c r="H48" i="45"/>
  <c r="D59" i="3"/>
  <c r="E59" i="3" s="1"/>
  <c r="B130" i="44"/>
  <c r="J128" i="39"/>
  <c r="F52" i="31"/>
  <c r="G52" i="31" s="1"/>
  <c r="B52" i="31"/>
  <c r="D59" i="5"/>
  <c r="E59" i="5" s="1"/>
  <c r="I128" i="45"/>
  <c r="H128" i="45"/>
  <c r="D59" i="4"/>
  <c r="E59" i="4" s="1"/>
  <c r="G50" i="13"/>
  <c r="D50" i="43"/>
  <c r="E50" i="43"/>
  <c r="H58" i="5"/>
  <c r="G58" i="8"/>
  <c r="I58" i="8" s="1"/>
  <c r="D51" i="39"/>
  <c r="E51" i="39"/>
  <c r="D55" i="24"/>
  <c r="E55" i="24"/>
  <c r="D50" i="37"/>
  <c r="E50" i="37"/>
  <c r="G48" i="45"/>
  <c r="B54" i="29"/>
  <c r="F54" i="29"/>
  <c r="G54" i="29" s="1"/>
  <c r="G49" i="43"/>
  <c r="I49" i="43" s="1"/>
  <c r="H128" i="43"/>
  <c r="I128" i="43"/>
  <c r="H50" i="39"/>
  <c r="I50" i="39" s="1"/>
  <c r="I55" i="23"/>
  <c r="B131" i="13"/>
  <c r="D50" i="38"/>
  <c r="E50" i="38"/>
  <c r="G49" i="41"/>
  <c r="H50" i="13"/>
  <c r="H132" i="31"/>
  <c r="I132" i="31"/>
  <c r="J132" i="31" s="1"/>
  <c r="H49" i="41"/>
  <c r="G49" i="37"/>
  <c r="D57" i="25"/>
  <c r="E57" i="25"/>
  <c r="D61" i="11"/>
  <c r="E61" i="11" s="1"/>
  <c r="B129" i="43"/>
  <c r="F129" i="43"/>
  <c r="E49" i="42"/>
  <c r="D49" i="42"/>
  <c r="D53" i="28"/>
  <c r="E53" i="28"/>
  <c r="D56" i="23"/>
  <c r="E56" i="23"/>
  <c r="E131" i="13"/>
  <c r="F131" i="13" s="1"/>
  <c r="F129" i="41"/>
  <c r="B129" i="41"/>
  <c r="E130" i="44"/>
  <c r="F130" i="44" s="1"/>
  <c r="B133" i="31"/>
  <c r="F133" i="31"/>
  <c r="D130" i="39"/>
  <c r="E130" i="39"/>
  <c r="G129" i="39"/>
  <c r="H49" i="37"/>
  <c r="D50" i="40"/>
  <c r="E50" i="40"/>
  <c r="F129" i="45"/>
  <c r="B129" i="45"/>
  <c r="G60" i="11"/>
  <c r="I60" i="11" s="1"/>
  <c r="H51" i="30"/>
  <c r="I51" i="30" s="1"/>
  <c r="G58" i="3"/>
  <c r="I58" i="3" s="1"/>
  <c r="D61" i="10"/>
  <c r="H49" i="38"/>
  <c r="I49" i="38" s="1"/>
  <c r="D57" i="22"/>
  <c r="E57" i="22"/>
  <c r="H130" i="13"/>
  <c r="I130" i="13"/>
  <c r="I49" i="41" l="1"/>
  <c r="F49" i="46"/>
  <c r="B49" i="46"/>
  <c r="H49" i="46"/>
  <c r="I129" i="46"/>
  <c r="H129" i="46"/>
  <c r="E130" i="46"/>
  <c r="F130" i="46" s="1"/>
  <c r="B130" i="46"/>
  <c r="J139" i="7"/>
  <c r="H129" i="42"/>
  <c r="I129" i="42"/>
  <c r="E130" i="42"/>
  <c r="F130" i="42" s="1"/>
  <c r="B130" i="42"/>
  <c r="I49" i="37"/>
  <c r="H54" i="29"/>
  <c r="G53" i="27"/>
  <c r="I53" i="27" s="1"/>
  <c r="J130" i="13"/>
  <c r="J155" i="13" s="1"/>
  <c r="I50" i="13"/>
  <c r="I54" i="29"/>
  <c r="I61" i="7"/>
  <c r="D61" i="9"/>
  <c r="G60" i="9"/>
  <c r="H60" i="9"/>
  <c r="I48" i="44"/>
  <c r="F59" i="6"/>
  <c r="H59" i="6" s="1"/>
  <c r="B59" i="6"/>
  <c r="B49" i="44"/>
  <c r="F49" i="44"/>
  <c r="D54" i="27"/>
  <c r="E54" i="27"/>
  <c r="G135" i="23"/>
  <c r="E136" i="23"/>
  <c r="D136" i="23"/>
  <c r="G137" i="5"/>
  <c r="E138" i="5"/>
  <c r="D138" i="5"/>
  <c r="E137" i="22"/>
  <c r="D137" i="22"/>
  <c r="G136" i="22"/>
  <c r="G138" i="6"/>
  <c r="D139" i="6"/>
  <c r="E139" i="6"/>
  <c r="J130" i="30"/>
  <c r="D141" i="10"/>
  <c r="G140" i="10"/>
  <c r="E141" i="10"/>
  <c r="E138" i="3"/>
  <c r="D138" i="3"/>
  <c r="G137" i="3"/>
  <c r="D137" i="25"/>
  <c r="E137" i="25"/>
  <c r="G136" i="25"/>
  <c r="J129" i="44"/>
  <c r="E135" i="24"/>
  <c r="G134" i="24"/>
  <c r="D135" i="24"/>
  <c r="J128" i="37"/>
  <c r="D139" i="8"/>
  <c r="E139" i="8"/>
  <c r="G138" i="8"/>
  <c r="E133" i="28"/>
  <c r="G132" i="28"/>
  <c r="D133" i="28"/>
  <c r="E130" i="40"/>
  <c r="D130" i="40"/>
  <c r="G129" i="40"/>
  <c r="D141" i="7"/>
  <c r="E141" i="7"/>
  <c r="G140" i="7"/>
  <c r="D132" i="30"/>
  <c r="E132" i="30"/>
  <c r="G131" i="30"/>
  <c r="G137" i="4"/>
  <c r="D138" i="4"/>
  <c r="E138" i="4"/>
  <c r="J137" i="8"/>
  <c r="G133" i="27"/>
  <c r="E134" i="27"/>
  <c r="D134" i="27"/>
  <c r="F130" i="38"/>
  <c r="B130" i="38"/>
  <c r="G139" i="11"/>
  <c r="E140" i="11"/>
  <c r="D140" i="11"/>
  <c r="J128" i="40"/>
  <c r="J132" i="27"/>
  <c r="H129" i="38"/>
  <c r="I129" i="38"/>
  <c r="G139" i="9"/>
  <c r="E140" i="9"/>
  <c r="D140" i="9"/>
  <c r="D130" i="37"/>
  <c r="E130" i="37"/>
  <c r="G129" i="37"/>
  <c r="J131" i="28"/>
  <c r="J139" i="10"/>
  <c r="J137" i="6"/>
  <c r="J136" i="3"/>
  <c r="I133" i="29"/>
  <c r="H133" i="29"/>
  <c r="F134" i="29"/>
  <c r="B134" i="29"/>
  <c r="D131" i="44"/>
  <c r="E131" i="44" s="1"/>
  <c r="G130" i="44"/>
  <c r="B130" i="39"/>
  <c r="F130" i="39"/>
  <c r="E134" i="31"/>
  <c r="D134" i="31"/>
  <c r="G133" i="31"/>
  <c r="G129" i="43"/>
  <c r="D130" i="43"/>
  <c r="E130" i="43"/>
  <c r="F50" i="38"/>
  <c r="G50" i="38" s="1"/>
  <c r="B50" i="38"/>
  <c r="J128" i="45"/>
  <c r="B59" i="5"/>
  <c r="F59" i="5"/>
  <c r="H59" i="5" s="1"/>
  <c r="B59" i="3"/>
  <c r="F59" i="3"/>
  <c r="G59" i="3" s="1"/>
  <c r="J128" i="41"/>
  <c r="B51" i="13"/>
  <c r="B61" i="10"/>
  <c r="D130" i="41"/>
  <c r="G129" i="41"/>
  <c r="E130" i="41"/>
  <c r="D130" i="45"/>
  <c r="E130" i="45" s="1"/>
  <c r="G129" i="45"/>
  <c r="F51" i="39"/>
  <c r="B51" i="39"/>
  <c r="F59" i="4"/>
  <c r="H59" i="4" s="1"/>
  <c r="B59" i="4"/>
  <c r="E51" i="13"/>
  <c r="F51" i="13" s="1"/>
  <c r="F53" i="28"/>
  <c r="G53" i="28" s="1"/>
  <c r="B53" i="28"/>
  <c r="B57" i="22"/>
  <c r="F57" i="22"/>
  <c r="H57" i="22" s="1"/>
  <c r="H52" i="31"/>
  <c r="I52" i="31" s="1"/>
  <c r="B52" i="30"/>
  <c r="F52" i="30"/>
  <c r="G52" i="30" s="1"/>
  <c r="B50" i="41"/>
  <c r="F50" i="41"/>
  <c r="H50" i="41" s="1"/>
  <c r="F50" i="40"/>
  <c r="H50" i="40" s="1"/>
  <c r="B50" i="40"/>
  <c r="B61" i="11"/>
  <c r="F61" i="11"/>
  <c r="H61" i="11" s="1"/>
  <c r="D55" i="29"/>
  <c r="E55" i="29"/>
  <c r="I48" i="45"/>
  <c r="F56" i="23"/>
  <c r="H56" i="23" s="1"/>
  <c r="B56" i="23"/>
  <c r="B49" i="42"/>
  <c r="F49" i="42"/>
  <c r="G49" i="42" s="1"/>
  <c r="G131" i="13"/>
  <c r="D132" i="13"/>
  <c r="E132" i="13" s="1"/>
  <c r="F50" i="37"/>
  <c r="H50" i="37" s="1"/>
  <c r="B50" i="37"/>
  <c r="B50" i="43"/>
  <c r="F50" i="43"/>
  <c r="H50" i="43" s="1"/>
  <c r="D53" i="31"/>
  <c r="E53" i="31"/>
  <c r="F49" i="45"/>
  <c r="H49" i="45" s="1"/>
  <c r="B49" i="45"/>
  <c r="B62" i="7"/>
  <c r="F62" i="7"/>
  <c r="H62" i="7" s="1"/>
  <c r="H129" i="39"/>
  <c r="I129" i="39"/>
  <c r="B57" i="25"/>
  <c r="F57" i="25"/>
  <c r="G57" i="25" s="1"/>
  <c r="F55" i="24"/>
  <c r="H55" i="24" s="1"/>
  <c r="B55" i="24"/>
  <c r="B59" i="8"/>
  <c r="E61" i="10"/>
  <c r="F61" i="10" s="1"/>
  <c r="J128" i="43"/>
  <c r="E59" i="8"/>
  <c r="F59" i="8" s="1"/>
  <c r="G59" i="8" s="1"/>
  <c r="G56" i="23" l="1"/>
  <c r="G50" i="40"/>
  <c r="I50" i="40" s="1"/>
  <c r="D50" i="46"/>
  <c r="E50" i="46"/>
  <c r="G49" i="46"/>
  <c r="I49" i="46" s="1"/>
  <c r="D131" i="46"/>
  <c r="G130" i="46"/>
  <c r="J129" i="46"/>
  <c r="J129" i="42"/>
  <c r="G130" i="42"/>
  <c r="D131" i="42"/>
  <c r="G59" i="5"/>
  <c r="G62" i="7"/>
  <c r="I62" i="7" s="1"/>
  <c r="G50" i="37"/>
  <c r="I50" i="37" s="1"/>
  <c r="G50" i="43"/>
  <c r="I50" i="43" s="1"/>
  <c r="J129" i="38"/>
  <c r="G57" i="22"/>
  <c r="I57" i="22" s="1"/>
  <c r="H50" i="38"/>
  <c r="I50" i="38" s="1"/>
  <c r="I60" i="9"/>
  <c r="D50" i="44"/>
  <c r="E50" i="44"/>
  <c r="G61" i="11"/>
  <c r="I61" i="11" s="1"/>
  <c r="B54" i="27"/>
  <c r="F54" i="27"/>
  <c r="G54" i="27" s="1"/>
  <c r="H49" i="44"/>
  <c r="D60" i="6"/>
  <c r="E60" i="6"/>
  <c r="B61" i="9"/>
  <c r="G50" i="41"/>
  <c r="I50" i="41" s="1"/>
  <c r="H53" i="28"/>
  <c r="I53" i="28" s="1"/>
  <c r="H49" i="42"/>
  <c r="I49" i="42" s="1"/>
  <c r="G49" i="44"/>
  <c r="G59" i="6"/>
  <c r="I59" i="6" s="1"/>
  <c r="E61" i="9"/>
  <c r="F61" i="9" s="1"/>
  <c r="I129" i="37"/>
  <c r="H129" i="37"/>
  <c r="I139" i="11"/>
  <c r="H139" i="11"/>
  <c r="F132" i="30"/>
  <c r="B132" i="30"/>
  <c r="F139" i="8"/>
  <c r="B139" i="8"/>
  <c r="B137" i="22"/>
  <c r="F137" i="22"/>
  <c r="I137" i="5"/>
  <c r="H137" i="5"/>
  <c r="I139" i="9"/>
  <c r="H139" i="9"/>
  <c r="I133" i="27"/>
  <c r="H133" i="27"/>
  <c r="H137" i="4"/>
  <c r="I137" i="4"/>
  <c r="I140" i="7"/>
  <c r="H140" i="7"/>
  <c r="F130" i="40"/>
  <c r="B130" i="40"/>
  <c r="H137" i="3"/>
  <c r="I137" i="3"/>
  <c r="J137" i="3" s="1"/>
  <c r="I140" i="10"/>
  <c r="H140" i="10"/>
  <c r="B139" i="6"/>
  <c r="F139" i="6"/>
  <c r="B136" i="23"/>
  <c r="F136" i="23"/>
  <c r="B137" i="25"/>
  <c r="F137" i="25"/>
  <c r="B130" i="37"/>
  <c r="F130" i="37"/>
  <c r="F140" i="11"/>
  <c r="B140" i="11"/>
  <c r="E131" i="38"/>
  <c r="G130" i="38"/>
  <c r="D131" i="38"/>
  <c r="H131" i="30"/>
  <c r="I131" i="30"/>
  <c r="I138" i="8"/>
  <c r="H138" i="8"/>
  <c r="B135" i="24"/>
  <c r="F135" i="24"/>
  <c r="I136" i="25"/>
  <c r="H136" i="25"/>
  <c r="B138" i="3"/>
  <c r="F138" i="3"/>
  <c r="F141" i="10"/>
  <c r="B141" i="10"/>
  <c r="I138" i="6"/>
  <c r="J138" i="6" s="1"/>
  <c r="H138" i="6"/>
  <c r="F138" i="5"/>
  <c r="B138" i="5"/>
  <c r="B138" i="4"/>
  <c r="F138" i="4"/>
  <c r="I129" i="40"/>
  <c r="H129" i="40"/>
  <c r="H132" i="28"/>
  <c r="I132" i="28"/>
  <c r="B140" i="9"/>
  <c r="F140" i="9"/>
  <c r="F134" i="27"/>
  <c r="B134" i="27"/>
  <c r="F141" i="7"/>
  <c r="B141" i="7"/>
  <c r="F133" i="28"/>
  <c r="B133" i="28"/>
  <c r="I134" i="24"/>
  <c r="H134" i="24"/>
  <c r="H136" i="22"/>
  <c r="I136" i="22"/>
  <c r="H135" i="23"/>
  <c r="I135" i="23"/>
  <c r="G134" i="29"/>
  <c r="E135" i="29"/>
  <c r="D135" i="29"/>
  <c r="J133" i="29"/>
  <c r="D52" i="13"/>
  <c r="E52" i="13" s="1"/>
  <c r="G51" i="13"/>
  <c r="H51" i="13"/>
  <c r="D62" i="10"/>
  <c r="E62" i="10" s="1"/>
  <c r="G61" i="10"/>
  <c r="H61" i="10"/>
  <c r="D52" i="39"/>
  <c r="E52" i="39"/>
  <c r="I129" i="43"/>
  <c r="H129" i="43"/>
  <c r="H57" i="25"/>
  <c r="I57" i="25" s="1"/>
  <c r="D50" i="45"/>
  <c r="E50" i="45"/>
  <c r="B132" i="13"/>
  <c r="F132" i="13"/>
  <c r="D57" i="23"/>
  <c r="E57" i="23"/>
  <c r="D51" i="41"/>
  <c r="E51" i="41"/>
  <c r="G59" i="4"/>
  <c r="I59" i="4" s="1"/>
  <c r="I129" i="45"/>
  <c r="H129" i="45"/>
  <c r="D60" i="3"/>
  <c r="E60" i="3" s="1"/>
  <c r="D60" i="5"/>
  <c r="E60" i="5" s="1"/>
  <c r="I133" i="31"/>
  <c r="H133" i="31"/>
  <c r="F130" i="45"/>
  <c r="B130" i="45"/>
  <c r="B134" i="31"/>
  <c r="F134" i="31"/>
  <c r="D51" i="43"/>
  <c r="E51" i="43"/>
  <c r="I56" i="23"/>
  <c r="H59" i="8"/>
  <c r="I59" i="8" s="1"/>
  <c r="E56" i="24"/>
  <c r="D56" i="24"/>
  <c r="B53" i="31"/>
  <c r="F53" i="31"/>
  <c r="G53" i="31" s="1"/>
  <c r="D58" i="22"/>
  <c r="E58" i="22"/>
  <c r="D54" i="28"/>
  <c r="E54" i="28"/>
  <c r="H59" i="3"/>
  <c r="I59" i="3" s="1"/>
  <c r="E131" i="39"/>
  <c r="D131" i="39"/>
  <c r="G130" i="39"/>
  <c r="I131" i="13"/>
  <c r="H131" i="13"/>
  <c r="G55" i="24"/>
  <c r="I55" i="24" s="1"/>
  <c r="J129" i="39"/>
  <c r="D63" i="7"/>
  <c r="D50" i="42"/>
  <c r="E50" i="42"/>
  <c r="D60" i="4"/>
  <c r="E60" i="4" s="1"/>
  <c r="D60" i="8"/>
  <c r="E60" i="8" s="1"/>
  <c r="B55" i="29"/>
  <c r="F55" i="29"/>
  <c r="D53" i="30"/>
  <c r="E53" i="30"/>
  <c r="H51" i="39"/>
  <c r="D51" i="38"/>
  <c r="E51" i="38"/>
  <c r="G49" i="45"/>
  <c r="I49" i="45" s="1"/>
  <c r="D62" i="11"/>
  <c r="E62" i="11" s="1"/>
  <c r="H129" i="41"/>
  <c r="I129" i="41"/>
  <c r="I130" i="44"/>
  <c r="H130" i="44"/>
  <c r="D58" i="25"/>
  <c r="E58" i="25"/>
  <c r="E51" i="37"/>
  <c r="D51" i="37"/>
  <c r="E51" i="40"/>
  <c r="D51" i="40"/>
  <c r="H52" i="30"/>
  <c r="I52" i="30" s="1"/>
  <c r="G51" i="39"/>
  <c r="B130" i="41"/>
  <c r="F130" i="41"/>
  <c r="F130" i="43"/>
  <c r="B130" i="43"/>
  <c r="B131" i="44"/>
  <c r="F131" i="44"/>
  <c r="B50" i="46" l="1"/>
  <c r="F50" i="46"/>
  <c r="H50" i="46" s="1"/>
  <c r="H130" i="46"/>
  <c r="I130" i="46"/>
  <c r="J130" i="46" s="1"/>
  <c r="J155" i="46" s="1"/>
  <c r="E131" i="46"/>
  <c r="F131" i="46"/>
  <c r="B131" i="46"/>
  <c r="E131" i="42"/>
  <c r="F131" i="42" s="1"/>
  <c r="E132" i="42" s="1"/>
  <c r="B131" i="42"/>
  <c r="H130" i="42"/>
  <c r="I130" i="42"/>
  <c r="J138" i="8"/>
  <c r="J137" i="4"/>
  <c r="J129" i="40"/>
  <c r="H61" i="9"/>
  <c r="D62" i="9"/>
  <c r="E62" i="9" s="1"/>
  <c r="G61" i="9"/>
  <c r="F60" i="6"/>
  <c r="G60" i="6" s="1"/>
  <c r="B60" i="6"/>
  <c r="H54" i="27"/>
  <c r="I54" i="27" s="1"/>
  <c r="D55" i="27"/>
  <c r="E55" i="27" s="1"/>
  <c r="B50" i="44"/>
  <c r="F50" i="44"/>
  <c r="H50" i="44" s="1"/>
  <c r="H53" i="31"/>
  <c r="I53" i="31" s="1"/>
  <c r="I61" i="10"/>
  <c r="I49" i="44"/>
  <c r="G137" i="25"/>
  <c r="D138" i="25"/>
  <c r="E138" i="25"/>
  <c r="E141" i="9"/>
  <c r="D141" i="9"/>
  <c r="G140" i="9"/>
  <c r="B131" i="38"/>
  <c r="F131" i="38"/>
  <c r="D141" i="11"/>
  <c r="E141" i="11"/>
  <c r="G140" i="11"/>
  <c r="J140" i="7"/>
  <c r="J133" i="27"/>
  <c r="J137" i="5"/>
  <c r="D140" i="8"/>
  <c r="G139" i="8"/>
  <c r="E140" i="8"/>
  <c r="E142" i="7"/>
  <c r="D142" i="7"/>
  <c r="G141" i="7"/>
  <c r="G138" i="5"/>
  <c r="D139" i="5"/>
  <c r="E139" i="5"/>
  <c r="E142" i="10"/>
  <c r="D142" i="10"/>
  <c r="G141" i="10"/>
  <c r="H130" i="38"/>
  <c r="I130" i="38"/>
  <c r="E131" i="37"/>
  <c r="D131" i="37"/>
  <c r="G130" i="37"/>
  <c r="E137" i="23"/>
  <c r="D137" i="23"/>
  <c r="G136" i="23"/>
  <c r="D138" i="22"/>
  <c r="E138" i="22"/>
  <c r="G137" i="22"/>
  <c r="E134" i="28"/>
  <c r="D134" i="28"/>
  <c r="G133" i="28"/>
  <c r="D135" i="27"/>
  <c r="G134" i="27"/>
  <c r="E135" i="27"/>
  <c r="D140" i="6"/>
  <c r="E140" i="6"/>
  <c r="G139" i="6"/>
  <c r="J133" i="31"/>
  <c r="J129" i="45"/>
  <c r="J132" i="28"/>
  <c r="E139" i="4"/>
  <c r="D139" i="4"/>
  <c r="G138" i="4"/>
  <c r="G138" i="3"/>
  <c r="D139" i="3"/>
  <c r="E139" i="3"/>
  <c r="G135" i="24"/>
  <c r="E136" i="24"/>
  <c r="D136" i="24"/>
  <c r="J131" i="30"/>
  <c r="J140" i="10"/>
  <c r="D131" i="40"/>
  <c r="E131" i="40"/>
  <c r="G130" i="40"/>
  <c r="G132" i="30"/>
  <c r="D133" i="30"/>
  <c r="E133" i="30"/>
  <c r="J129" i="37"/>
  <c r="B135" i="29"/>
  <c r="F135" i="29"/>
  <c r="I134" i="29"/>
  <c r="H134" i="29"/>
  <c r="J129" i="43"/>
  <c r="F51" i="40"/>
  <c r="H51" i="40" s="1"/>
  <c r="B51" i="40"/>
  <c r="D56" i="29"/>
  <c r="E56" i="29"/>
  <c r="F50" i="42"/>
  <c r="G50" i="42" s="1"/>
  <c r="B50" i="42"/>
  <c r="B51" i="43"/>
  <c r="F51" i="43"/>
  <c r="F50" i="45"/>
  <c r="H50" i="45" s="1"/>
  <c r="G50" i="45"/>
  <c r="B50" i="45"/>
  <c r="D131" i="43"/>
  <c r="G130" i="43"/>
  <c r="E131" i="43"/>
  <c r="F62" i="11"/>
  <c r="B62" i="11"/>
  <c r="I51" i="39"/>
  <c r="G55" i="29"/>
  <c r="B54" i="28"/>
  <c r="F54" i="28"/>
  <c r="G54" i="28" s="1"/>
  <c r="B60" i="3"/>
  <c r="F60" i="3"/>
  <c r="G60" i="3" s="1"/>
  <c r="F51" i="37"/>
  <c r="H51" i="37" s="1"/>
  <c r="B51" i="37"/>
  <c r="F51" i="41"/>
  <c r="G51" i="41" s="1"/>
  <c r="B51" i="41"/>
  <c r="B52" i="39"/>
  <c r="F52" i="39"/>
  <c r="H52" i="39" s="1"/>
  <c r="B62" i="10"/>
  <c r="F62" i="10"/>
  <c r="G62" i="10" s="1"/>
  <c r="H55" i="29"/>
  <c r="F58" i="22"/>
  <c r="H58" i="22" s="1"/>
  <c r="B58" i="22"/>
  <c r="H56" i="24"/>
  <c r="B56" i="24"/>
  <c r="F56" i="24"/>
  <c r="G56" i="24" s="1"/>
  <c r="I51" i="13"/>
  <c r="B63" i="7"/>
  <c r="H130" i="39"/>
  <c r="I130" i="39"/>
  <c r="E135" i="31"/>
  <c r="G134" i="31"/>
  <c r="D135" i="31"/>
  <c r="B57" i="23"/>
  <c r="F57" i="23"/>
  <c r="G57" i="23" s="1"/>
  <c r="D131" i="45"/>
  <c r="E131" i="45" s="1"/>
  <c r="G130" i="45"/>
  <c r="J130" i="44"/>
  <c r="J155" i="44" s="1"/>
  <c r="F60" i="8"/>
  <c r="H60" i="8" s="1"/>
  <c r="B60" i="8"/>
  <c r="B60" i="4"/>
  <c r="F60" i="4"/>
  <c r="G60" i="4" s="1"/>
  <c r="E63" i="7"/>
  <c r="F63" i="7" s="1"/>
  <c r="B131" i="39"/>
  <c r="F131" i="39"/>
  <c r="G132" i="13"/>
  <c r="D133" i="13"/>
  <c r="E133" i="13" s="1"/>
  <c r="F52" i="13"/>
  <c r="H52" i="13" s="1"/>
  <c r="B52" i="13"/>
  <c r="F53" i="30"/>
  <c r="H53" i="30" s="1"/>
  <c r="B53" i="30"/>
  <c r="D131" i="41"/>
  <c r="G130" i="41"/>
  <c r="E131" i="41"/>
  <c r="D132" i="44"/>
  <c r="E132" i="44" s="1"/>
  <c r="G131" i="44"/>
  <c r="B58" i="25"/>
  <c r="F58" i="25"/>
  <c r="H58" i="25" s="1"/>
  <c r="J129" i="41"/>
  <c r="B51" i="38"/>
  <c r="F51" i="38"/>
  <c r="G51" i="38" s="1"/>
  <c r="D54" i="31"/>
  <c r="E54" i="31"/>
  <c r="B60" i="5"/>
  <c r="F60" i="5"/>
  <c r="H60" i="5" s="1"/>
  <c r="G50" i="46" l="1"/>
  <c r="I50" i="46" s="1"/>
  <c r="D51" i="46"/>
  <c r="E51" i="46"/>
  <c r="D132" i="46"/>
  <c r="G131" i="46"/>
  <c r="D132" i="42"/>
  <c r="B132" i="42" s="1"/>
  <c r="G131" i="42"/>
  <c r="J130" i="42"/>
  <c r="J155" i="42" s="1"/>
  <c r="I61" i="9"/>
  <c r="G52" i="13"/>
  <c r="I52" i="13" s="1"/>
  <c r="I50" i="45"/>
  <c r="G53" i="30"/>
  <c r="I53" i="30" s="1"/>
  <c r="G52" i="39"/>
  <c r="I52" i="39" s="1"/>
  <c r="G58" i="22"/>
  <c r="I58" i="22" s="1"/>
  <c r="H51" i="41"/>
  <c r="I51" i="41" s="1"/>
  <c r="G51" i="40"/>
  <c r="I51" i="40" s="1"/>
  <c r="D51" i="44"/>
  <c r="E51" i="44"/>
  <c r="G60" i="8"/>
  <c r="I60" i="8" s="1"/>
  <c r="G50" i="44"/>
  <c r="I50" i="44" s="1"/>
  <c r="B55" i="27"/>
  <c r="F55" i="27"/>
  <c r="H55" i="27" s="1"/>
  <c r="D61" i="6"/>
  <c r="F62" i="9"/>
  <c r="D63" i="9" s="1"/>
  <c r="B62" i="9"/>
  <c r="H60" i="3"/>
  <c r="I60" i="3" s="1"/>
  <c r="H54" i="28"/>
  <c r="H60" i="6"/>
  <c r="I60" i="6" s="1"/>
  <c r="J130" i="38"/>
  <c r="J155" i="38" s="1"/>
  <c r="I132" i="30"/>
  <c r="H132" i="30"/>
  <c r="I135" i="24"/>
  <c r="H135" i="24"/>
  <c r="H138" i="4"/>
  <c r="I138" i="4"/>
  <c r="B140" i="6"/>
  <c r="F140" i="6"/>
  <c r="I133" i="28"/>
  <c r="H133" i="28"/>
  <c r="B139" i="4"/>
  <c r="F139" i="4"/>
  <c r="F138" i="22"/>
  <c r="B138" i="22"/>
  <c r="H130" i="37"/>
  <c r="I130" i="37"/>
  <c r="F140" i="8"/>
  <c r="B140" i="8"/>
  <c r="I140" i="11"/>
  <c r="H140" i="11"/>
  <c r="F136" i="24"/>
  <c r="B136" i="24"/>
  <c r="F139" i="3"/>
  <c r="B139" i="3"/>
  <c r="H139" i="6"/>
  <c r="I139" i="6"/>
  <c r="J139" i="6" s="1"/>
  <c r="I134" i="27"/>
  <c r="H134" i="27"/>
  <c r="H136" i="23"/>
  <c r="I136" i="23"/>
  <c r="F131" i="37"/>
  <c r="B131" i="37"/>
  <c r="H141" i="10"/>
  <c r="I141" i="10"/>
  <c r="F139" i="5"/>
  <c r="B139" i="5"/>
  <c r="I140" i="9"/>
  <c r="H140" i="9"/>
  <c r="B138" i="25"/>
  <c r="F138" i="25"/>
  <c r="I141" i="7"/>
  <c r="H141" i="7"/>
  <c r="I139" i="8"/>
  <c r="H139" i="8"/>
  <c r="D132" i="38"/>
  <c r="E132" i="38"/>
  <c r="G131" i="38"/>
  <c r="H130" i="40"/>
  <c r="I130" i="40"/>
  <c r="F134" i="28"/>
  <c r="B134" i="28"/>
  <c r="B142" i="7"/>
  <c r="F142" i="7"/>
  <c r="B133" i="30"/>
  <c r="F133" i="30"/>
  <c r="B131" i="40"/>
  <c r="F131" i="40"/>
  <c r="I138" i="3"/>
  <c r="H138" i="3"/>
  <c r="F135" i="27"/>
  <c r="B135" i="27"/>
  <c r="H137" i="22"/>
  <c r="I137" i="22"/>
  <c r="B137" i="23"/>
  <c r="F137" i="23"/>
  <c r="F142" i="10"/>
  <c r="B142" i="10"/>
  <c r="I138" i="5"/>
  <c r="H138" i="5"/>
  <c r="B141" i="11"/>
  <c r="F141" i="11"/>
  <c r="B141" i="9"/>
  <c r="F141" i="9"/>
  <c r="H137" i="25"/>
  <c r="I137" i="25"/>
  <c r="J134" i="29"/>
  <c r="D136" i="29"/>
  <c r="E136" i="29"/>
  <c r="G135" i="29"/>
  <c r="D64" i="7"/>
  <c r="E64" i="7" s="1"/>
  <c r="H63" i="7"/>
  <c r="G63" i="7"/>
  <c r="H130" i="41"/>
  <c r="I130" i="41"/>
  <c r="J130" i="39"/>
  <c r="J155" i="39" s="1"/>
  <c r="H62" i="10"/>
  <c r="I62" i="10" s="1"/>
  <c r="D51" i="45"/>
  <c r="E51" i="45"/>
  <c r="E51" i="42"/>
  <c r="D51" i="42"/>
  <c r="F131" i="41"/>
  <c r="B131" i="41"/>
  <c r="B54" i="31"/>
  <c r="F54" i="31"/>
  <c r="H54" i="31" s="1"/>
  <c r="G58" i="25"/>
  <c r="I58" i="25" s="1"/>
  <c r="D132" i="39"/>
  <c r="E132" i="39"/>
  <c r="G131" i="39"/>
  <c r="F133" i="13"/>
  <c r="B133" i="13"/>
  <c r="I130" i="45"/>
  <c r="H130" i="45"/>
  <c r="F135" i="31"/>
  <c r="B135" i="31"/>
  <c r="D59" i="22"/>
  <c r="D52" i="43"/>
  <c r="E52" i="43"/>
  <c r="E59" i="25"/>
  <c r="D59" i="25"/>
  <c r="D63" i="11"/>
  <c r="E63" i="11" s="1"/>
  <c r="H132" i="13"/>
  <c r="I132" i="13"/>
  <c r="D61" i="8"/>
  <c r="E61" i="8" s="1"/>
  <c r="F131" i="45"/>
  <c r="B131" i="45"/>
  <c r="I134" i="31"/>
  <c r="H134" i="31"/>
  <c r="I55" i="29"/>
  <c r="D63" i="10"/>
  <c r="F56" i="29"/>
  <c r="H56" i="29" s="1"/>
  <c r="B56" i="29"/>
  <c r="I56" i="24"/>
  <c r="D61" i="5"/>
  <c r="E61" i="5" s="1"/>
  <c r="D54" i="30"/>
  <c r="E54" i="30"/>
  <c r="D61" i="4"/>
  <c r="E61" i="4" s="1"/>
  <c r="I54" i="28"/>
  <c r="G51" i="43"/>
  <c r="D52" i="40"/>
  <c r="E52" i="40"/>
  <c r="D58" i="23"/>
  <c r="E58" i="23" s="1"/>
  <c r="D52" i="37"/>
  <c r="E52" i="37"/>
  <c r="D52" i="38"/>
  <c r="E52" i="38"/>
  <c r="H51" i="38"/>
  <c r="I51" i="38" s="1"/>
  <c r="F132" i="44"/>
  <c r="B132" i="44"/>
  <c r="H60" i="4"/>
  <c r="I60" i="4" s="1"/>
  <c r="D57" i="24"/>
  <c r="E57" i="24"/>
  <c r="H62" i="11"/>
  <c r="I130" i="43"/>
  <c r="H130" i="43"/>
  <c r="H51" i="43"/>
  <c r="H131" i="44"/>
  <c r="I131" i="44"/>
  <c r="G60" i="5"/>
  <c r="D53" i="13"/>
  <c r="H57" i="23"/>
  <c r="I57" i="23" s="1"/>
  <c r="D53" i="39"/>
  <c r="E53" i="39"/>
  <c r="D52" i="41"/>
  <c r="E52" i="41"/>
  <c r="G51" i="37"/>
  <c r="I51" i="37" s="1"/>
  <c r="D61" i="3"/>
  <c r="E61" i="3" s="1"/>
  <c r="E55" i="28"/>
  <c r="D55" i="28"/>
  <c r="G62" i="11"/>
  <c r="B131" i="43"/>
  <c r="F131" i="43"/>
  <c r="H50" i="42"/>
  <c r="I50" i="42" s="1"/>
  <c r="F51" i="46" l="1"/>
  <c r="B51" i="46"/>
  <c r="H51" i="46"/>
  <c r="G51" i="46"/>
  <c r="I51" i="46" s="1"/>
  <c r="I131" i="46"/>
  <c r="H131" i="46"/>
  <c r="E132" i="46"/>
  <c r="F132" i="46"/>
  <c r="B132" i="46"/>
  <c r="J130" i="37"/>
  <c r="J155" i="37" s="1"/>
  <c r="J133" i="28"/>
  <c r="J132" i="30"/>
  <c r="H131" i="42"/>
  <c r="I131" i="42"/>
  <c r="F132" i="42"/>
  <c r="J141" i="10"/>
  <c r="J141" i="7"/>
  <c r="J138" i="5"/>
  <c r="G62" i="9"/>
  <c r="G56" i="29"/>
  <c r="I56" i="29" s="1"/>
  <c r="E63" i="9"/>
  <c r="F63" i="9" s="1"/>
  <c r="B63" i="9"/>
  <c r="G55" i="27"/>
  <c r="I55" i="27" s="1"/>
  <c r="D56" i="27"/>
  <c r="E56" i="27" s="1"/>
  <c r="B61" i="6"/>
  <c r="H62" i="9"/>
  <c r="E61" i="6"/>
  <c r="F61" i="6" s="1"/>
  <c r="F51" i="44"/>
  <c r="B51" i="44"/>
  <c r="E136" i="27"/>
  <c r="D136" i="27"/>
  <c r="G135" i="27"/>
  <c r="J130" i="45"/>
  <c r="J155" i="45" s="1"/>
  <c r="E142" i="11"/>
  <c r="D142" i="11"/>
  <c r="G141" i="11"/>
  <c r="H131" i="38"/>
  <c r="I131" i="38"/>
  <c r="J134" i="27"/>
  <c r="D143" i="10"/>
  <c r="G142" i="10"/>
  <c r="E143" i="10"/>
  <c r="J138" i="3"/>
  <c r="G134" i="28"/>
  <c r="E135" i="28"/>
  <c r="D135" i="28"/>
  <c r="J138" i="4"/>
  <c r="G138" i="25"/>
  <c r="D139" i="25"/>
  <c r="E139" i="25"/>
  <c r="D140" i="4"/>
  <c r="G139" i="4"/>
  <c r="E140" i="4"/>
  <c r="D141" i="6"/>
  <c r="E141" i="6"/>
  <c r="G140" i="6"/>
  <c r="E134" i="30"/>
  <c r="G133" i="30"/>
  <c r="D134" i="30"/>
  <c r="J139" i="8"/>
  <c r="D140" i="5"/>
  <c r="E140" i="5"/>
  <c r="G139" i="5"/>
  <c r="G131" i="37"/>
  <c r="D132" i="37"/>
  <c r="E132" i="37"/>
  <c r="D140" i="3"/>
  <c r="G139" i="3"/>
  <c r="E140" i="3"/>
  <c r="D142" i="9"/>
  <c r="E142" i="9"/>
  <c r="G141" i="9"/>
  <c r="D138" i="23"/>
  <c r="E138" i="23"/>
  <c r="G137" i="23"/>
  <c r="D132" i="40"/>
  <c r="E132" i="40"/>
  <c r="G131" i="40"/>
  <c r="E143" i="7"/>
  <c r="G142" i="7"/>
  <c r="D143" i="7"/>
  <c r="J130" i="40"/>
  <c r="J155" i="40" s="1"/>
  <c r="F132" i="38"/>
  <c r="B132" i="38"/>
  <c r="G136" i="24"/>
  <c r="D137" i="24"/>
  <c r="E137" i="24"/>
  <c r="E141" i="8"/>
  <c r="D141" i="8"/>
  <c r="G140" i="8"/>
  <c r="G138" i="22"/>
  <c r="E139" i="22"/>
  <c r="D139" i="22"/>
  <c r="J134" i="31"/>
  <c r="I135" i="29"/>
  <c r="H135" i="29"/>
  <c r="J130" i="41"/>
  <c r="J155" i="41" s="1"/>
  <c r="B136" i="29"/>
  <c r="F136" i="29"/>
  <c r="B63" i="10"/>
  <c r="B53" i="13"/>
  <c r="B54" i="30"/>
  <c r="F54" i="30"/>
  <c r="H54" i="30" s="1"/>
  <c r="E53" i="13"/>
  <c r="F53" i="13" s="1"/>
  <c r="G53" i="13" s="1"/>
  <c r="F52" i="40"/>
  <c r="G52" i="40" s="1"/>
  <c r="B52" i="40"/>
  <c r="F59" i="25"/>
  <c r="G59" i="25" s="1"/>
  <c r="B59" i="25"/>
  <c r="G133" i="13"/>
  <c r="D134" i="13"/>
  <c r="B52" i="41"/>
  <c r="F52" i="41"/>
  <c r="G52" i="41" s="1"/>
  <c r="F52" i="37"/>
  <c r="G52" i="37" s="1"/>
  <c r="B52" i="37"/>
  <c r="B55" i="28"/>
  <c r="F55" i="28"/>
  <c r="H55" i="28" s="1"/>
  <c r="B61" i="5"/>
  <c r="F61" i="5"/>
  <c r="H131" i="39"/>
  <c r="I131" i="39"/>
  <c r="D132" i="41"/>
  <c r="G131" i="41"/>
  <c r="E132" i="41"/>
  <c r="I63" i="7"/>
  <c r="B61" i="8"/>
  <c r="F61" i="8"/>
  <c r="H61" i="8" s="1"/>
  <c r="B59" i="22"/>
  <c r="I51" i="43"/>
  <c r="D133" i="44"/>
  <c r="G132" i="44"/>
  <c r="E59" i="22"/>
  <c r="F59" i="22" s="1"/>
  <c r="F51" i="42"/>
  <c r="G51" i="42" s="1"/>
  <c r="B51" i="42"/>
  <c r="B57" i="24"/>
  <c r="F57" i="24"/>
  <c r="H57" i="24" s="1"/>
  <c r="B132" i="39"/>
  <c r="F132" i="39"/>
  <c r="F64" i="7"/>
  <c r="G64" i="7" s="1"/>
  <c r="B64" i="7"/>
  <c r="B61" i="3"/>
  <c r="F61" i="3"/>
  <c r="H61" i="3" s="1"/>
  <c r="J130" i="43"/>
  <c r="J155" i="43" s="1"/>
  <c r="B52" i="43"/>
  <c r="F52" i="43"/>
  <c r="H52" i="43" s="1"/>
  <c r="D136" i="31"/>
  <c r="G135" i="31"/>
  <c r="E136" i="31"/>
  <c r="G131" i="43"/>
  <c r="D132" i="43"/>
  <c r="E132" i="43"/>
  <c r="D55" i="31"/>
  <c r="E55" i="31"/>
  <c r="F53" i="39"/>
  <c r="H53" i="39" s="1"/>
  <c r="B53" i="39"/>
  <c r="F58" i="23"/>
  <c r="G58" i="23" s="1"/>
  <c r="B58" i="23"/>
  <c r="I62" i="11"/>
  <c r="F52" i="38"/>
  <c r="G52" i="38" s="1"/>
  <c r="B52" i="38"/>
  <c r="F61" i="4"/>
  <c r="H61" i="4" s="1"/>
  <c r="B61" i="4"/>
  <c r="E57" i="29"/>
  <c r="D57" i="29"/>
  <c r="E63" i="10"/>
  <c r="F63" i="10" s="1"/>
  <c r="G131" i="45"/>
  <c r="D132" i="45"/>
  <c r="E132" i="45" s="1"/>
  <c r="F63" i="11"/>
  <c r="G63" i="11" s="1"/>
  <c r="H63" i="11"/>
  <c r="B63" i="11"/>
  <c r="G54" i="31"/>
  <c r="I54" i="31" s="1"/>
  <c r="F51" i="45"/>
  <c r="G51" i="45" s="1"/>
  <c r="B51" i="45"/>
  <c r="D52" i="46" l="1"/>
  <c r="E52" i="46"/>
  <c r="D133" i="46"/>
  <c r="G132" i="46"/>
  <c r="D133" i="42"/>
  <c r="G132" i="42"/>
  <c r="I62" i="9"/>
  <c r="G61" i="4"/>
  <c r="I61" i="4" s="1"/>
  <c r="G55" i="28"/>
  <c r="H64" i="7"/>
  <c r="I64" i="7" s="1"/>
  <c r="H58" i="23"/>
  <c r="I58" i="23" s="1"/>
  <c r="G53" i="39"/>
  <c r="I53" i="39" s="1"/>
  <c r="G61" i="3"/>
  <c r="I61" i="3" s="1"/>
  <c r="H59" i="25"/>
  <c r="I59" i="25" s="1"/>
  <c r="H52" i="38"/>
  <c r="I52" i="38" s="1"/>
  <c r="H51" i="42"/>
  <c r="I51" i="42" s="1"/>
  <c r="H52" i="37"/>
  <c r="I52" i="37" s="1"/>
  <c r="G63" i="9"/>
  <c r="D64" i="9"/>
  <c r="E64" i="9" s="1"/>
  <c r="H63" i="9"/>
  <c r="D62" i="6"/>
  <c r="H61" i="6"/>
  <c r="G61" i="6"/>
  <c r="H53" i="13"/>
  <c r="I53" i="13" s="1"/>
  <c r="G51" i="44"/>
  <c r="D52" i="44"/>
  <c r="E52" i="44"/>
  <c r="G57" i="24"/>
  <c r="I57" i="24" s="1"/>
  <c r="I55" i="28"/>
  <c r="H52" i="41"/>
  <c r="I52" i="41" s="1"/>
  <c r="G54" i="30"/>
  <c r="I54" i="30" s="1"/>
  <c r="H51" i="44"/>
  <c r="F56" i="27"/>
  <c r="D57" i="27" s="1"/>
  <c r="B56" i="27"/>
  <c r="B139" i="22"/>
  <c r="F139" i="22"/>
  <c r="B141" i="8"/>
  <c r="F141" i="8"/>
  <c r="H136" i="24"/>
  <c r="I136" i="24"/>
  <c r="F143" i="7"/>
  <c r="B143" i="7"/>
  <c r="B138" i="23"/>
  <c r="F138" i="23"/>
  <c r="B132" i="37"/>
  <c r="F132" i="37"/>
  <c r="B140" i="5"/>
  <c r="F140" i="5"/>
  <c r="B139" i="25"/>
  <c r="F139" i="25"/>
  <c r="H142" i="10"/>
  <c r="I142" i="10"/>
  <c r="H142" i="7"/>
  <c r="I142" i="7"/>
  <c r="F132" i="40"/>
  <c r="B132" i="40"/>
  <c r="H141" i="9"/>
  <c r="I141" i="9"/>
  <c r="H139" i="3"/>
  <c r="I139" i="3"/>
  <c r="I131" i="37"/>
  <c r="H131" i="37"/>
  <c r="I140" i="6"/>
  <c r="H140" i="6"/>
  <c r="I139" i="4"/>
  <c r="H139" i="4"/>
  <c r="H138" i="25"/>
  <c r="I138" i="25"/>
  <c r="I134" i="28"/>
  <c r="H134" i="28"/>
  <c r="F143" i="10"/>
  <c r="B143" i="10"/>
  <c r="H141" i="11"/>
  <c r="I141" i="11"/>
  <c r="H135" i="27"/>
  <c r="I135" i="27"/>
  <c r="H138" i="22"/>
  <c r="I138" i="22"/>
  <c r="G132" i="38"/>
  <c r="D133" i="38"/>
  <c r="E133" i="38"/>
  <c r="I137" i="23"/>
  <c r="H137" i="23"/>
  <c r="F140" i="3"/>
  <c r="B140" i="3"/>
  <c r="H139" i="5"/>
  <c r="I139" i="5"/>
  <c r="B134" i="30"/>
  <c r="F134" i="30"/>
  <c r="F140" i="4"/>
  <c r="B140" i="4"/>
  <c r="B142" i="11"/>
  <c r="F142" i="11"/>
  <c r="F136" i="27"/>
  <c r="B136" i="27"/>
  <c r="H140" i="8"/>
  <c r="I140" i="8"/>
  <c r="B137" i="24"/>
  <c r="F137" i="24"/>
  <c r="I131" i="40"/>
  <c r="H131" i="40"/>
  <c r="B142" i="9"/>
  <c r="F142" i="9"/>
  <c r="H133" i="30"/>
  <c r="I133" i="30"/>
  <c r="F141" i="6"/>
  <c r="B141" i="6"/>
  <c r="B135" i="28"/>
  <c r="F135" i="28"/>
  <c r="E137" i="29"/>
  <c r="G136" i="29"/>
  <c r="D137" i="29"/>
  <c r="J135" i="29"/>
  <c r="D60" i="22"/>
  <c r="G59" i="22"/>
  <c r="H59" i="22"/>
  <c r="D64" i="10"/>
  <c r="E64" i="10" s="1"/>
  <c r="G63" i="10"/>
  <c r="H63" i="10"/>
  <c r="B133" i="44"/>
  <c r="F57" i="29"/>
  <c r="H57" i="29" s="1"/>
  <c r="B57" i="29"/>
  <c r="B55" i="31"/>
  <c r="F55" i="31"/>
  <c r="H55" i="31" s="1"/>
  <c r="B132" i="43"/>
  <c r="F132" i="43"/>
  <c r="G61" i="8"/>
  <c r="I61" i="8" s="1"/>
  <c r="I131" i="41"/>
  <c r="H131" i="41"/>
  <c r="D62" i="5"/>
  <c r="E62" i="5" s="1"/>
  <c r="D60" i="25"/>
  <c r="E60" i="25" s="1"/>
  <c r="D53" i="40"/>
  <c r="E53" i="40"/>
  <c r="D54" i="13"/>
  <c r="E54" i="13" s="1"/>
  <c r="F132" i="41"/>
  <c r="B132" i="41"/>
  <c r="H61" i="5"/>
  <c r="H52" i="40"/>
  <c r="I52" i="40" s="1"/>
  <c r="I131" i="45"/>
  <c r="H131" i="45"/>
  <c r="D62" i="8"/>
  <c r="E62" i="8" s="1"/>
  <c r="B134" i="13"/>
  <c r="E133" i="39"/>
  <c r="D133" i="39"/>
  <c r="G132" i="39"/>
  <c r="H51" i="45"/>
  <c r="I51" i="45" s="1"/>
  <c r="D64" i="11"/>
  <c r="E64" i="11" s="1"/>
  <c r="D53" i="38"/>
  <c r="E53" i="38"/>
  <c r="H135" i="31"/>
  <c r="I135" i="31"/>
  <c r="D65" i="7"/>
  <c r="E65" i="7" s="1"/>
  <c r="G61" i="5"/>
  <c r="D53" i="37"/>
  <c r="E53" i="37"/>
  <c r="H133" i="13"/>
  <c r="I133" i="13"/>
  <c r="D52" i="45"/>
  <c r="E52" i="45"/>
  <c r="B136" i="31"/>
  <c r="F136" i="31"/>
  <c r="E58" i="24"/>
  <c r="D58" i="24"/>
  <c r="H132" i="44"/>
  <c r="I132" i="44"/>
  <c r="E134" i="13"/>
  <c r="F134" i="13" s="1"/>
  <c r="E55" i="30"/>
  <c r="D55" i="30"/>
  <c r="D53" i="43"/>
  <c r="E53" i="43"/>
  <c r="D59" i="23"/>
  <c r="E59" i="23" s="1"/>
  <c r="H131" i="43"/>
  <c r="I131" i="43"/>
  <c r="I63" i="11"/>
  <c r="B132" i="45"/>
  <c r="F132" i="45"/>
  <c r="D62" i="4"/>
  <c r="E62" i="4" s="1"/>
  <c r="D54" i="39"/>
  <c r="E54" i="39"/>
  <c r="G52" i="43"/>
  <c r="I52" i="43" s="1"/>
  <c r="D62" i="3"/>
  <c r="E62" i="3" s="1"/>
  <c r="D52" i="42"/>
  <c r="E52" i="42"/>
  <c r="E133" i="44"/>
  <c r="F133" i="44" s="1"/>
  <c r="D56" i="28"/>
  <c r="E56" i="28"/>
  <c r="D53" i="41"/>
  <c r="E53" i="41"/>
  <c r="F52" i="46" l="1"/>
  <c r="B52" i="46"/>
  <c r="H52" i="46"/>
  <c r="G52" i="46"/>
  <c r="I132" i="46"/>
  <c r="H132" i="46"/>
  <c r="E133" i="46"/>
  <c r="F133" i="46" s="1"/>
  <c r="B133" i="46"/>
  <c r="H132" i="42"/>
  <c r="I132" i="42"/>
  <c r="E133" i="42"/>
  <c r="F133" i="42"/>
  <c r="B133" i="42"/>
  <c r="J134" i="28"/>
  <c r="J140" i="6"/>
  <c r="J139" i="5"/>
  <c r="J139" i="4"/>
  <c r="G57" i="29"/>
  <c r="I57" i="29" s="1"/>
  <c r="I63" i="9"/>
  <c r="H56" i="27"/>
  <c r="I61" i="6"/>
  <c r="G56" i="27"/>
  <c r="B62" i="6"/>
  <c r="F64" i="9"/>
  <c r="H64" i="9" s="1"/>
  <c r="B64" i="9"/>
  <c r="E57" i="27"/>
  <c r="F57" i="27" s="1"/>
  <c r="B57" i="27"/>
  <c r="I51" i="44"/>
  <c r="I59" i="22"/>
  <c r="F52" i="44"/>
  <c r="B52" i="44"/>
  <c r="E62" i="6"/>
  <c r="F62" i="6" s="1"/>
  <c r="E142" i="6"/>
  <c r="G141" i="6"/>
  <c r="D142" i="6"/>
  <c r="D137" i="27"/>
  <c r="G136" i="27"/>
  <c r="E137" i="27"/>
  <c r="D141" i="4"/>
  <c r="E141" i="4"/>
  <c r="G140" i="4"/>
  <c r="J142" i="7"/>
  <c r="G139" i="25"/>
  <c r="E140" i="25"/>
  <c r="D140" i="25"/>
  <c r="E133" i="37"/>
  <c r="G132" i="37"/>
  <c r="D133" i="37"/>
  <c r="D142" i="8"/>
  <c r="E142" i="8"/>
  <c r="G141" i="8"/>
  <c r="E136" i="28"/>
  <c r="G135" i="28"/>
  <c r="D136" i="28"/>
  <c r="J133" i="30"/>
  <c r="J140" i="8"/>
  <c r="E143" i="11"/>
  <c r="G142" i="11"/>
  <c r="D143" i="11"/>
  <c r="E135" i="30"/>
  <c r="D135" i="30"/>
  <c r="G134" i="30"/>
  <c r="D144" i="7"/>
  <c r="E144" i="7" s="1"/>
  <c r="G143" i="7"/>
  <c r="G140" i="3"/>
  <c r="D141" i="3"/>
  <c r="E141" i="3"/>
  <c r="B133" i="38"/>
  <c r="F133" i="38"/>
  <c r="J135" i="27"/>
  <c r="J139" i="3"/>
  <c r="J142" i="10"/>
  <c r="G140" i="5"/>
  <c r="D141" i="5"/>
  <c r="E141" i="5"/>
  <c r="G138" i="23"/>
  <c r="D139" i="23"/>
  <c r="E139" i="23"/>
  <c r="G139" i="22"/>
  <c r="E140" i="22"/>
  <c r="D140" i="22"/>
  <c r="E143" i="9"/>
  <c r="G142" i="9"/>
  <c r="D143" i="9"/>
  <c r="E138" i="24"/>
  <c r="G137" i="24"/>
  <c r="D138" i="24"/>
  <c r="H132" i="38"/>
  <c r="I132" i="38"/>
  <c r="G143" i="10"/>
  <c r="D144" i="10"/>
  <c r="E144" i="10"/>
  <c r="G132" i="40"/>
  <c r="D133" i="40"/>
  <c r="E133" i="40"/>
  <c r="B137" i="29"/>
  <c r="F137" i="29"/>
  <c r="H136" i="29"/>
  <c r="I136" i="29"/>
  <c r="J135" i="31"/>
  <c r="D134" i="44"/>
  <c r="E134" i="44" s="1"/>
  <c r="G133" i="44"/>
  <c r="E137" i="31"/>
  <c r="D137" i="31"/>
  <c r="G136" i="31"/>
  <c r="B53" i="41"/>
  <c r="F53" i="41"/>
  <c r="G53" i="41" s="1"/>
  <c r="B54" i="39"/>
  <c r="F54" i="39"/>
  <c r="F65" i="7"/>
  <c r="H65" i="7" s="1"/>
  <c r="B65" i="7"/>
  <c r="F64" i="10"/>
  <c r="H64" i="10" s="1"/>
  <c r="B64" i="10"/>
  <c r="B54" i="13"/>
  <c r="F54" i="13"/>
  <c r="H54" i="13" s="1"/>
  <c r="B53" i="37"/>
  <c r="F53" i="37"/>
  <c r="G53" i="37" s="1"/>
  <c r="B53" i="38"/>
  <c r="F53" i="38"/>
  <c r="H53" i="38" s="1"/>
  <c r="G132" i="43"/>
  <c r="D133" i="43"/>
  <c r="E133" i="43"/>
  <c r="F53" i="43"/>
  <c r="G53" i="43" s="1"/>
  <c r="B53" i="43"/>
  <c r="B58" i="24"/>
  <c r="F58" i="24"/>
  <c r="H58" i="24" s="1"/>
  <c r="D135" i="13"/>
  <c r="G134" i="13"/>
  <c r="G132" i="41"/>
  <c r="D133" i="41"/>
  <c r="E133" i="41"/>
  <c r="B62" i="5"/>
  <c r="F62" i="5"/>
  <c r="D58" i="29"/>
  <c r="E58" i="29" s="1"/>
  <c r="B52" i="45"/>
  <c r="F52" i="45"/>
  <c r="G52" i="45" s="1"/>
  <c r="F64" i="11"/>
  <c r="H64" i="11" s="1"/>
  <c r="B64" i="11"/>
  <c r="H132" i="39"/>
  <c r="I132" i="39"/>
  <c r="B53" i="40"/>
  <c r="F53" i="40"/>
  <c r="H53" i="40" s="1"/>
  <c r="B60" i="22"/>
  <c r="F52" i="42"/>
  <c r="G52" i="42" s="1"/>
  <c r="B52" i="42"/>
  <c r="B55" i="30"/>
  <c r="F55" i="30"/>
  <c r="H55" i="30" s="1"/>
  <c r="F62" i="4"/>
  <c r="H62" i="4" s="1"/>
  <c r="B62" i="4"/>
  <c r="F133" i="39"/>
  <c r="B133" i="39"/>
  <c r="F62" i="8"/>
  <c r="H62" i="8" s="1"/>
  <c r="B62" i="8"/>
  <c r="D56" i="31"/>
  <c r="E56" i="31"/>
  <c r="E60" i="22"/>
  <c r="F60" i="22" s="1"/>
  <c r="F56" i="28"/>
  <c r="H56" i="28" s="1"/>
  <c r="B56" i="28"/>
  <c r="B62" i="3"/>
  <c r="F62" i="3"/>
  <c r="H62" i="3" s="1"/>
  <c r="D133" i="45"/>
  <c r="E133" i="45" s="1"/>
  <c r="G132" i="45"/>
  <c r="B59" i="23"/>
  <c r="F59" i="23"/>
  <c r="H59" i="23" s="1"/>
  <c r="B60" i="25"/>
  <c r="F60" i="25"/>
  <c r="H60" i="25" s="1"/>
  <c r="G55" i="31"/>
  <c r="I55" i="31" s="1"/>
  <c r="I63" i="10"/>
  <c r="I52" i="46" l="1"/>
  <c r="D53" i="46"/>
  <c r="E53" i="46"/>
  <c r="G133" i="46"/>
  <c r="D134" i="46"/>
  <c r="D134" i="42"/>
  <c r="G133" i="42"/>
  <c r="G58" i="24"/>
  <c r="G62" i="3"/>
  <c r="I62" i="3" s="1"/>
  <c r="G56" i="28"/>
  <c r="I56" i="28" s="1"/>
  <c r="H52" i="45"/>
  <c r="I52" i="45" s="1"/>
  <c r="H53" i="37"/>
  <c r="I53" i="37" s="1"/>
  <c r="G55" i="30"/>
  <c r="I55" i="30" s="1"/>
  <c r="G53" i="40"/>
  <c r="I53" i="40" s="1"/>
  <c r="G62" i="4"/>
  <c r="I62" i="4" s="1"/>
  <c r="H52" i="42"/>
  <c r="I52" i="42" s="1"/>
  <c r="D63" i="6"/>
  <c r="H62" i="6"/>
  <c r="G62" i="6"/>
  <c r="D58" i="27"/>
  <c r="E58" i="27" s="1"/>
  <c r="G57" i="27"/>
  <c r="H57" i="27"/>
  <c r="G59" i="23"/>
  <c r="I59" i="23" s="1"/>
  <c r="I56" i="27"/>
  <c r="G52" i="44"/>
  <c r="E53" i="44"/>
  <c r="D53" i="44"/>
  <c r="I58" i="24"/>
  <c r="H52" i="44"/>
  <c r="G64" i="9"/>
  <c r="I64" i="9" s="1"/>
  <c r="D65" i="9"/>
  <c r="E65" i="9"/>
  <c r="B144" i="10"/>
  <c r="F144" i="10"/>
  <c r="F138" i="24"/>
  <c r="B138" i="24"/>
  <c r="H142" i="9"/>
  <c r="I142" i="9"/>
  <c r="I139" i="22"/>
  <c r="H139" i="22"/>
  <c r="I143" i="7"/>
  <c r="H143" i="7"/>
  <c r="F133" i="37"/>
  <c r="B133" i="37"/>
  <c r="F137" i="27"/>
  <c r="B137" i="27"/>
  <c r="B133" i="40"/>
  <c r="F133" i="40"/>
  <c r="H143" i="10"/>
  <c r="I143" i="10"/>
  <c r="I137" i="24"/>
  <c r="H137" i="24"/>
  <c r="F141" i="5"/>
  <c r="B141" i="5"/>
  <c r="B141" i="3"/>
  <c r="F141" i="3"/>
  <c r="F144" i="7"/>
  <c r="B144" i="7"/>
  <c r="F143" i="11"/>
  <c r="B143" i="11"/>
  <c r="H141" i="8"/>
  <c r="I141" i="8"/>
  <c r="I132" i="37"/>
  <c r="H132" i="37"/>
  <c r="I139" i="25"/>
  <c r="H139" i="25"/>
  <c r="B141" i="4"/>
  <c r="F141" i="4"/>
  <c r="F142" i="6"/>
  <c r="B142" i="6"/>
  <c r="J136" i="29"/>
  <c r="I132" i="40"/>
  <c r="H132" i="40"/>
  <c r="B140" i="22"/>
  <c r="F140" i="22"/>
  <c r="B139" i="23"/>
  <c r="F139" i="23"/>
  <c r="I140" i="5"/>
  <c r="J140" i="5" s="1"/>
  <c r="H140" i="5"/>
  <c r="G133" i="38"/>
  <c r="E134" i="38"/>
  <c r="D134" i="38"/>
  <c r="H140" i="3"/>
  <c r="I140" i="3"/>
  <c r="I134" i="30"/>
  <c r="H134" i="30"/>
  <c r="I142" i="11"/>
  <c r="H142" i="11"/>
  <c r="B136" i="28"/>
  <c r="F136" i="28"/>
  <c r="H141" i="6"/>
  <c r="I141" i="6"/>
  <c r="J141" i="6" s="1"/>
  <c r="B143" i="9"/>
  <c r="F143" i="9"/>
  <c r="I138" i="23"/>
  <c r="H138" i="23"/>
  <c r="F135" i="30"/>
  <c r="B135" i="30"/>
  <c r="H135" i="28"/>
  <c r="I135" i="28"/>
  <c r="B142" i="8"/>
  <c r="F142" i="8"/>
  <c r="F140" i="25"/>
  <c r="B140" i="25"/>
  <c r="H140" i="4"/>
  <c r="I140" i="4"/>
  <c r="I136" i="27"/>
  <c r="H136" i="27"/>
  <c r="D138" i="29"/>
  <c r="E138" i="29"/>
  <c r="G137" i="29"/>
  <c r="D61" i="22"/>
  <c r="H60" i="22"/>
  <c r="G60" i="22"/>
  <c r="G54" i="13"/>
  <c r="I54" i="13" s="1"/>
  <c r="D54" i="40"/>
  <c r="E54" i="40"/>
  <c r="H53" i="41"/>
  <c r="I53" i="41" s="1"/>
  <c r="F137" i="31"/>
  <c r="B137" i="31"/>
  <c r="D59" i="24"/>
  <c r="H136" i="31"/>
  <c r="I136" i="31"/>
  <c r="D65" i="11"/>
  <c r="E65" i="11" s="1"/>
  <c r="B58" i="29"/>
  <c r="F58" i="29"/>
  <c r="H58" i="29" s="1"/>
  <c r="B133" i="41"/>
  <c r="F133" i="41"/>
  <c r="B133" i="43"/>
  <c r="F133" i="43"/>
  <c r="D55" i="39"/>
  <c r="E55" i="39"/>
  <c r="D54" i="38"/>
  <c r="E54" i="38"/>
  <c r="H132" i="45"/>
  <c r="I132" i="45"/>
  <c r="E56" i="30"/>
  <c r="D56" i="30"/>
  <c r="B133" i="45"/>
  <c r="F133" i="45"/>
  <c r="D53" i="42"/>
  <c r="E53" i="42"/>
  <c r="G64" i="11"/>
  <c r="I64" i="11" s="1"/>
  <c r="D63" i="5"/>
  <c r="E63" i="5" s="1"/>
  <c r="I132" i="41"/>
  <c r="H132" i="41"/>
  <c r="I132" i="43"/>
  <c r="H132" i="43"/>
  <c r="H133" i="44"/>
  <c r="I133" i="44"/>
  <c r="B135" i="13"/>
  <c r="D65" i="10"/>
  <c r="D55" i="13"/>
  <c r="E55" i="13" s="1"/>
  <c r="D61" i="25"/>
  <c r="E61" i="25" s="1"/>
  <c r="D63" i="8"/>
  <c r="E63" i="8" s="1"/>
  <c r="G60" i="25"/>
  <c r="I60" i="25" s="1"/>
  <c r="D63" i="3"/>
  <c r="E63" i="3" s="1"/>
  <c r="G62" i="8"/>
  <c r="I62" i="8" s="1"/>
  <c r="D63" i="4"/>
  <c r="E63" i="4" s="1"/>
  <c r="H62" i="5"/>
  <c r="H134" i="13"/>
  <c r="I134" i="13"/>
  <c r="D54" i="43"/>
  <c r="E54" i="43"/>
  <c r="D54" i="37"/>
  <c r="E54" i="37"/>
  <c r="D66" i="7"/>
  <c r="E66" i="7" s="1"/>
  <c r="H54" i="39"/>
  <c r="D134" i="39"/>
  <c r="G133" i="39"/>
  <c r="E134" i="39"/>
  <c r="D54" i="41"/>
  <c r="E54" i="41"/>
  <c r="D60" i="23"/>
  <c r="E60" i="23" s="1"/>
  <c r="D57" i="28"/>
  <c r="E57" i="28"/>
  <c r="F56" i="31"/>
  <c r="G56" i="31" s="1"/>
  <c r="B56" i="31"/>
  <c r="D53" i="45"/>
  <c r="E53" i="45"/>
  <c r="G62" i="5"/>
  <c r="E135" i="13"/>
  <c r="F135" i="13" s="1"/>
  <c r="H53" i="43"/>
  <c r="I53" i="43" s="1"/>
  <c r="G53" i="38"/>
  <c r="I53" i="38" s="1"/>
  <c r="G64" i="10"/>
  <c r="I64" i="10" s="1"/>
  <c r="G65" i="7"/>
  <c r="I65" i="7" s="1"/>
  <c r="G54" i="39"/>
  <c r="F134" i="44"/>
  <c r="B134" i="44"/>
  <c r="B53" i="46" l="1"/>
  <c r="F53" i="46"/>
  <c r="H53" i="46"/>
  <c r="E134" i="46"/>
  <c r="F134" i="46" s="1"/>
  <c r="B134" i="46"/>
  <c r="H133" i="46"/>
  <c r="I133" i="46"/>
  <c r="I133" i="42"/>
  <c r="H133" i="42"/>
  <c r="E134" i="42"/>
  <c r="F134" i="42" s="1"/>
  <c r="B134" i="42"/>
  <c r="J135" i="28"/>
  <c r="J143" i="7"/>
  <c r="J140" i="3"/>
  <c r="H56" i="31"/>
  <c r="I56" i="31" s="1"/>
  <c r="F65" i="9"/>
  <c r="G65" i="9" s="1"/>
  <c r="B65" i="9"/>
  <c r="I62" i="6"/>
  <c r="I54" i="39"/>
  <c r="F53" i="44"/>
  <c r="G53" i="44" s="1"/>
  <c r="B53" i="44"/>
  <c r="F58" i="27"/>
  <c r="G58" i="27" s="1"/>
  <c r="B58" i="27"/>
  <c r="B63" i="6"/>
  <c r="I60" i="22"/>
  <c r="I52" i="44"/>
  <c r="I57" i="27"/>
  <c r="E63" i="6"/>
  <c r="F63" i="6" s="1"/>
  <c r="I133" i="38"/>
  <c r="H133" i="38"/>
  <c r="G141" i="4"/>
  <c r="D142" i="4"/>
  <c r="E142" i="4"/>
  <c r="E142" i="3"/>
  <c r="D142" i="3"/>
  <c r="G141" i="3"/>
  <c r="D134" i="40"/>
  <c r="E134" i="40"/>
  <c r="G133" i="40"/>
  <c r="J136" i="27"/>
  <c r="E141" i="25"/>
  <c r="G140" i="25"/>
  <c r="D141" i="25"/>
  <c r="E141" i="22"/>
  <c r="G140" i="22"/>
  <c r="D141" i="22"/>
  <c r="E144" i="11"/>
  <c r="G143" i="11"/>
  <c r="D144" i="11"/>
  <c r="E134" i="37"/>
  <c r="G133" i="37"/>
  <c r="D134" i="37"/>
  <c r="D139" i="24"/>
  <c r="G138" i="24"/>
  <c r="E139" i="24"/>
  <c r="J140" i="4"/>
  <c r="G142" i="8"/>
  <c r="D143" i="8"/>
  <c r="E143" i="8" s="1"/>
  <c r="G143" i="9"/>
  <c r="D144" i="9"/>
  <c r="E144" i="9" s="1"/>
  <c r="G136" i="28"/>
  <c r="E137" i="28"/>
  <c r="D137" i="28"/>
  <c r="B134" i="38"/>
  <c r="F134" i="38"/>
  <c r="J141" i="8"/>
  <c r="J143" i="10"/>
  <c r="D145" i="10"/>
  <c r="E145" i="10" s="1"/>
  <c r="G144" i="10"/>
  <c r="D136" i="30"/>
  <c r="E136" i="30"/>
  <c r="G135" i="30"/>
  <c r="J134" i="30"/>
  <c r="E140" i="23"/>
  <c r="D140" i="23"/>
  <c r="G139" i="23"/>
  <c r="D143" i="6"/>
  <c r="E143" i="6"/>
  <c r="G142" i="6"/>
  <c r="E145" i="7"/>
  <c r="D145" i="7"/>
  <c r="G144" i="7"/>
  <c r="D142" i="5"/>
  <c r="E142" i="5"/>
  <c r="G141" i="5"/>
  <c r="D138" i="27"/>
  <c r="E138" i="27"/>
  <c r="G137" i="27"/>
  <c r="H137" i="29"/>
  <c r="I137" i="29"/>
  <c r="B138" i="29"/>
  <c r="F138" i="29"/>
  <c r="D136" i="13"/>
  <c r="E136" i="13" s="1"/>
  <c r="G135" i="13"/>
  <c r="F55" i="39"/>
  <c r="H55" i="39" s="1"/>
  <c r="B55" i="39"/>
  <c r="F63" i="3"/>
  <c r="H63" i="3" s="1"/>
  <c r="B63" i="3"/>
  <c r="F55" i="13"/>
  <c r="H55" i="13" s="1"/>
  <c r="B55" i="13"/>
  <c r="B63" i="5"/>
  <c r="F63" i="5"/>
  <c r="H63" i="5" s="1"/>
  <c r="F65" i="11"/>
  <c r="B65" i="11"/>
  <c r="B57" i="28"/>
  <c r="F57" i="28"/>
  <c r="G57" i="28" s="1"/>
  <c r="B66" i="7"/>
  <c r="F66" i="7"/>
  <c r="H66" i="7" s="1"/>
  <c r="G133" i="41"/>
  <c r="D134" i="41"/>
  <c r="E134" i="41"/>
  <c r="J136" i="31"/>
  <c r="E138" i="31"/>
  <c r="D138" i="31"/>
  <c r="G137" i="31"/>
  <c r="B53" i="42"/>
  <c r="F53" i="42"/>
  <c r="H53" i="42" s="1"/>
  <c r="B65" i="10"/>
  <c r="B61" i="25"/>
  <c r="F61" i="25"/>
  <c r="G61" i="25" s="1"/>
  <c r="I133" i="39"/>
  <c r="H133" i="39"/>
  <c r="B63" i="8"/>
  <c r="F63" i="8"/>
  <c r="G63" i="8" s="1"/>
  <c r="D134" i="45"/>
  <c r="E134" i="45" s="1"/>
  <c r="G133" i="45"/>
  <c r="B59" i="24"/>
  <c r="F54" i="40"/>
  <c r="H54" i="40" s="1"/>
  <c r="B54" i="40"/>
  <c r="B61" i="22"/>
  <c r="B56" i="30"/>
  <c r="F56" i="30"/>
  <c r="H56" i="30" s="1"/>
  <c r="B60" i="23"/>
  <c r="F60" i="23"/>
  <c r="G60" i="23" s="1"/>
  <c r="F54" i="41"/>
  <c r="G54" i="41" s="1"/>
  <c r="B54" i="41"/>
  <c r="G134" i="44"/>
  <c r="D135" i="44"/>
  <c r="E135" i="44" s="1"/>
  <c r="B54" i="43"/>
  <c r="F54" i="43"/>
  <c r="G54" i="43" s="1"/>
  <c r="B53" i="45"/>
  <c r="F53" i="45"/>
  <c r="H53" i="45" s="1"/>
  <c r="F134" i="39"/>
  <c r="B134" i="39"/>
  <c r="D59" i="29"/>
  <c r="E59" i="29" s="1"/>
  <c r="E59" i="24"/>
  <c r="F59" i="24" s="1"/>
  <c r="G59" i="24" s="1"/>
  <c r="E61" i="22"/>
  <c r="F61" i="22" s="1"/>
  <c r="D134" i="43"/>
  <c r="G133" i="43"/>
  <c r="E134" i="43"/>
  <c r="D57" i="31"/>
  <c r="E57" i="31"/>
  <c r="B54" i="37"/>
  <c r="F54" i="37"/>
  <c r="G54" i="37" s="1"/>
  <c r="B63" i="4"/>
  <c r="F63" i="4"/>
  <c r="G63" i="4" s="1"/>
  <c r="E65" i="10"/>
  <c r="F65" i="10" s="1"/>
  <c r="B54" i="38"/>
  <c r="F54" i="38"/>
  <c r="G54" i="38" s="1"/>
  <c r="G58" i="29"/>
  <c r="I58" i="29" s="1"/>
  <c r="G63" i="3" l="1"/>
  <c r="G53" i="46"/>
  <c r="I53" i="46" s="1"/>
  <c r="D54" i="46"/>
  <c r="E54" i="46"/>
  <c r="H61" i="25"/>
  <c r="G134" i="46"/>
  <c r="D135" i="46"/>
  <c r="H54" i="37"/>
  <c r="D135" i="42"/>
  <c r="B135" i="42" s="1"/>
  <c r="G134" i="42"/>
  <c r="E135" i="42"/>
  <c r="G54" i="40"/>
  <c r="I54" i="40" s="1"/>
  <c r="G55" i="39"/>
  <c r="I55" i="39" s="1"/>
  <c r="H65" i="9"/>
  <c r="I65" i="9" s="1"/>
  <c r="H63" i="8"/>
  <c r="I63" i="8" s="1"/>
  <c r="G55" i="13"/>
  <c r="I55" i="13" s="1"/>
  <c r="I63" i="3"/>
  <c r="G53" i="42"/>
  <c r="I53" i="42" s="1"/>
  <c r="G66" i="7"/>
  <c r="I66" i="7" s="1"/>
  <c r="H60" i="23"/>
  <c r="I60" i="23" s="1"/>
  <c r="H63" i="6"/>
  <c r="D64" i="6"/>
  <c r="E64" i="6" s="1"/>
  <c r="G63" i="6"/>
  <c r="H61" i="22"/>
  <c r="G61" i="22"/>
  <c r="G56" i="30"/>
  <c r="I56" i="30" s="1"/>
  <c r="H58" i="27"/>
  <c r="I58" i="27" s="1"/>
  <c r="D59" i="27"/>
  <c r="I61" i="25"/>
  <c r="D54" i="44"/>
  <c r="E54" i="44"/>
  <c r="H53" i="44"/>
  <c r="I53" i="44" s="1"/>
  <c r="D66" i="9"/>
  <c r="E66" i="9" s="1"/>
  <c r="I141" i="5"/>
  <c r="H141" i="5"/>
  <c r="F145" i="7"/>
  <c r="B145" i="7"/>
  <c r="F143" i="6"/>
  <c r="B143" i="6"/>
  <c r="I144" i="10"/>
  <c r="H144" i="10"/>
  <c r="I143" i="9"/>
  <c r="H143" i="9"/>
  <c r="F134" i="37"/>
  <c r="B134" i="37"/>
  <c r="H143" i="11"/>
  <c r="I143" i="11"/>
  <c r="H141" i="3"/>
  <c r="I141" i="3"/>
  <c r="J141" i="3" s="1"/>
  <c r="F142" i="4"/>
  <c r="B142" i="4"/>
  <c r="J137" i="29"/>
  <c r="I137" i="27"/>
  <c r="J137" i="27" s="1"/>
  <c r="H137" i="27"/>
  <c r="I139" i="23"/>
  <c r="H139" i="23"/>
  <c r="I135" i="30"/>
  <c r="J135" i="30" s="1"/>
  <c r="H135" i="30"/>
  <c r="F145" i="10"/>
  <c r="B145" i="10"/>
  <c r="D135" i="38"/>
  <c r="G134" i="38"/>
  <c r="E135" i="38"/>
  <c r="H136" i="28"/>
  <c r="I136" i="28"/>
  <c r="J136" i="28" s="1"/>
  <c r="B143" i="8"/>
  <c r="F143" i="8"/>
  <c r="H133" i="37"/>
  <c r="I133" i="37"/>
  <c r="B141" i="25"/>
  <c r="F141" i="25"/>
  <c r="H133" i="40"/>
  <c r="I133" i="40"/>
  <c r="B142" i="3"/>
  <c r="F142" i="3"/>
  <c r="H141" i="4"/>
  <c r="I141" i="4"/>
  <c r="J141" i="4" s="1"/>
  <c r="F142" i="5"/>
  <c r="B142" i="5"/>
  <c r="H142" i="6"/>
  <c r="I142" i="6"/>
  <c r="J142" i="6" s="1"/>
  <c r="F140" i="23"/>
  <c r="B140" i="23"/>
  <c r="H138" i="24"/>
  <c r="I138" i="24"/>
  <c r="B141" i="22"/>
  <c r="F141" i="22"/>
  <c r="I140" i="25"/>
  <c r="H140" i="25"/>
  <c r="B138" i="27"/>
  <c r="F138" i="27"/>
  <c r="I144" i="7"/>
  <c r="H144" i="7"/>
  <c r="F136" i="30"/>
  <c r="B136" i="30"/>
  <c r="B137" i="28"/>
  <c r="F137" i="28"/>
  <c r="F144" i="9"/>
  <c r="B144" i="9"/>
  <c r="H142" i="8"/>
  <c r="I142" i="8"/>
  <c r="J142" i="8" s="1"/>
  <c r="B139" i="24"/>
  <c r="F139" i="24"/>
  <c r="B144" i="11"/>
  <c r="F144" i="11"/>
  <c r="I140" i="22"/>
  <c r="H140" i="22"/>
  <c r="F134" i="40"/>
  <c r="B134" i="40"/>
  <c r="G138" i="29"/>
  <c r="E139" i="29"/>
  <c r="D139" i="29"/>
  <c r="D66" i="10"/>
  <c r="E66" i="10" s="1"/>
  <c r="H65" i="10"/>
  <c r="G65" i="10"/>
  <c r="I54" i="37"/>
  <c r="I134" i="44"/>
  <c r="H134" i="44"/>
  <c r="E55" i="37"/>
  <c r="D55" i="37"/>
  <c r="H54" i="41"/>
  <c r="I54" i="41" s="1"/>
  <c r="D64" i="8"/>
  <c r="E64" i="8" s="1"/>
  <c r="D54" i="42"/>
  <c r="E54" i="42"/>
  <c r="I133" i="41"/>
  <c r="H133" i="41"/>
  <c r="D56" i="13"/>
  <c r="E56" i="13" s="1"/>
  <c r="D55" i="38"/>
  <c r="E55" i="38"/>
  <c r="B134" i="41"/>
  <c r="F134" i="41"/>
  <c r="H54" i="43"/>
  <c r="I54" i="43" s="1"/>
  <c r="D57" i="30"/>
  <c r="E57" i="30"/>
  <c r="D58" i="28"/>
  <c r="E58" i="28" s="1"/>
  <c r="E54" i="45"/>
  <c r="D54" i="45"/>
  <c r="D55" i="40"/>
  <c r="E55" i="40"/>
  <c r="H63" i="4"/>
  <c r="I63" i="4" s="1"/>
  <c r="E135" i="39"/>
  <c r="D135" i="39"/>
  <c r="G134" i="39"/>
  <c r="D62" i="22"/>
  <c r="H133" i="45"/>
  <c r="I133" i="45"/>
  <c r="H137" i="31"/>
  <c r="I137" i="31"/>
  <c r="J137" i="31" s="1"/>
  <c r="D66" i="11"/>
  <c r="D64" i="5"/>
  <c r="E64" i="5" s="1"/>
  <c r="D60" i="24"/>
  <c r="E60" i="24" s="1"/>
  <c r="D55" i="43"/>
  <c r="E55" i="43"/>
  <c r="D55" i="41"/>
  <c r="E55" i="41"/>
  <c r="F134" i="45"/>
  <c r="B134" i="45"/>
  <c r="D62" i="25"/>
  <c r="E62" i="25" s="1"/>
  <c r="F138" i="31"/>
  <c r="B138" i="31"/>
  <c r="H65" i="11"/>
  <c r="G63" i="5"/>
  <c r="D64" i="4"/>
  <c r="H133" i="43"/>
  <c r="I133" i="43"/>
  <c r="D61" i="23"/>
  <c r="E61" i="23" s="1"/>
  <c r="H59" i="24"/>
  <c r="I59" i="24" s="1"/>
  <c r="G65" i="11"/>
  <c r="D64" i="3"/>
  <c r="H135" i="13"/>
  <c r="I135" i="13"/>
  <c r="H54" i="38"/>
  <c r="I54" i="38" s="1"/>
  <c r="B57" i="31"/>
  <c r="F57" i="31"/>
  <c r="G57" i="31" s="1"/>
  <c r="B134" i="43"/>
  <c r="F134" i="43"/>
  <c r="F59" i="29"/>
  <c r="H59" i="29" s="1"/>
  <c r="B59" i="29"/>
  <c r="G53" i="45"/>
  <c r="I53" i="45" s="1"/>
  <c r="F135" i="44"/>
  <c r="B135" i="44"/>
  <c r="D67" i="7"/>
  <c r="E67" i="7" s="1"/>
  <c r="H57" i="28"/>
  <c r="I57" i="28" s="1"/>
  <c r="D56" i="39"/>
  <c r="E56" i="39"/>
  <c r="F136" i="13"/>
  <c r="B136" i="13"/>
  <c r="F54" i="46" l="1"/>
  <c r="B54" i="46"/>
  <c r="G54" i="46"/>
  <c r="H54" i="46"/>
  <c r="I54" i="46" s="1"/>
  <c r="E135" i="46"/>
  <c r="F135" i="46"/>
  <c r="B135" i="46"/>
  <c r="F135" i="42"/>
  <c r="G135" i="42" s="1"/>
  <c r="H135" i="42" s="1"/>
  <c r="H134" i="46"/>
  <c r="I134" i="46"/>
  <c r="I134" i="42"/>
  <c r="H134" i="42"/>
  <c r="H57" i="31"/>
  <c r="I57" i="31" s="1"/>
  <c r="B59" i="27"/>
  <c r="F54" i="44"/>
  <c r="G54" i="44" s="1"/>
  <c r="B54" i="44"/>
  <c r="F66" i="9"/>
  <c r="B66" i="9"/>
  <c r="F64" i="6"/>
  <c r="D65" i="6" s="1"/>
  <c r="B64" i="6"/>
  <c r="I65" i="11"/>
  <c r="E59" i="27"/>
  <c r="F59" i="27" s="1"/>
  <c r="I61" i="22"/>
  <c r="I63" i="6"/>
  <c r="G144" i="11"/>
  <c r="D145" i="11"/>
  <c r="E145" i="11" s="1"/>
  <c r="E138" i="28"/>
  <c r="D138" i="28"/>
  <c r="G137" i="28"/>
  <c r="F135" i="38"/>
  <c r="B135" i="38"/>
  <c r="G134" i="40"/>
  <c r="D135" i="40"/>
  <c r="E135" i="40"/>
  <c r="J144" i="7"/>
  <c r="D135" i="37"/>
  <c r="G134" i="37"/>
  <c r="E135" i="37"/>
  <c r="J144" i="10"/>
  <c r="G145" i="7"/>
  <c r="D146" i="7"/>
  <c r="D140" i="24"/>
  <c r="G139" i="24"/>
  <c r="E140" i="24"/>
  <c r="E139" i="27"/>
  <c r="G138" i="27"/>
  <c r="D139" i="27"/>
  <c r="G141" i="22"/>
  <c r="E142" i="22"/>
  <c r="D142" i="22"/>
  <c r="G142" i="3"/>
  <c r="D143" i="3"/>
  <c r="E143" i="3" s="1"/>
  <c r="G141" i="25"/>
  <c r="D142" i="25"/>
  <c r="E142" i="25"/>
  <c r="G143" i="8"/>
  <c r="D144" i="8"/>
  <c r="E144" i="8" s="1"/>
  <c r="D146" i="10"/>
  <c r="E146" i="10" s="1"/>
  <c r="G145" i="10"/>
  <c r="D145" i="9"/>
  <c r="G144" i="9"/>
  <c r="E145" i="9"/>
  <c r="D137" i="30"/>
  <c r="E137" i="30"/>
  <c r="G136" i="30"/>
  <c r="D141" i="23"/>
  <c r="G140" i="23"/>
  <c r="E141" i="23"/>
  <c r="G142" i="5"/>
  <c r="D143" i="5"/>
  <c r="E143" i="5" s="1"/>
  <c r="I134" i="38"/>
  <c r="H134" i="38"/>
  <c r="G142" i="4"/>
  <c r="D143" i="4"/>
  <c r="E143" i="4" s="1"/>
  <c r="D144" i="6"/>
  <c r="G143" i="6"/>
  <c r="E144" i="6"/>
  <c r="J141" i="5"/>
  <c r="I138" i="29"/>
  <c r="H138" i="29"/>
  <c r="B139" i="29"/>
  <c r="F139" i="29"/>
  <c r="F135" i="39"/>
  <c r="B135" i="39"/>
  <c r="F55" i="38"/>
  <c r="H55" i="38" s="1"/>
  <c r="B55" i="38"/>
  <c r="B61" i="23"/>
  <c r="F61" i="23"/>
  <c r="D139" i="31"/>
  <c r="G138" i="31"/>
  <c r="E139" i="31"/>
  <c r="F56" i="13"/>
  <c r="B56" i="13"/>
  <c r="B55" i="37"/>
  <c r="F55" i="37"/>
  <c r="B66" i="11"/>
  <c r="F54" i="42"/>
  <c r="B54" i="42"/>
  <c r="D60" i="29"/>
  <c r="E60" i="29" s="1"/>
  <c r="D135" i="43"/>
  <c r="G134" i="43"/>
  <c r="E135" i="43"/>
  <c r="D135" i="45"/>
  <c r="E135" i="45" s="1"/>
  <c r="G134" i="45"/>
  <c r="F58" i="28"/>
  <c r="H58" i="28" s="1"/>
  <c r="B58" i="28"/>
  <c r="D137" i="13"/>
  <c r="E137" i="13" s="1"/>
  <c r="G136" i="13"/>
  <c r="D136" i="44"/>
  <c r="G135" i="44"/>
  <c r="B64" i="4"/>
  <c r="B60" i="24"/>
  <c r="F60" i="24"/>
  <c r="H60" i="24" s="1"/>
  <c r="B62" i="22"/>
  <c r="F55" i="40"/>
  <c r="H55" i="40" s="1"/>
  <c r="B55" i="40"/>
  <c r="I65" i="10"/>
  <c r="B64" i="3"/>
  <c r="E64" i="3"/>
  <c r="F64" i="3" s="1"/>
  <c r="G64" i="3" s="1"/>
  <c r="E64" i="4"/>
  <c r="F64" i="4" s="1"/>
  <c r="F55" i="41"/>
  <c r="H55" i="41" s="1"/>
  <c r="B55" i="41"/>
  <c r="B64" i="5"/>
  <c r="F64" i="5"/>
  <c r="E62" i="22"/>
  <c r="F62" i="22" s="1"/>
  <c r="B54" i="45"/>
  <c r="F54" i="45"/>
  <c r="G54" i="45" s="1"/>
  <c r="B57" i="30"/>
  <c r="F57" i="30"/>
  <c r="G57" i="30" s="1"/>
  <c r="D135" i="41"/>
  <c r="G134" i="41"/>
  <c r="E135" i="41"/>
  <c r="B64" i="8"/>
  <c r="F64" i="8"/>
  <c r="G64" i="8" s="1"/>
  <c r="B55" i="43"/>
  <c r="F55" i="43"/>
  <c r="G55" i="43" s="1"/>
  <c r="B67" i="7"/>
  <c r="F67" i="7"/>
  <c r="H67" i="7" s="1"/>
  <c r="F56" i="39"/>
  <c r="H56" i="39" s="1"/>
  <c r="B56" i="39"/>
  <c r="G59" i="29"/>
  <c r="I59" i="29" s="1"/>
  <c r="D58" i="31"/>
  <c r="E58" i="31" s="1"/>
  <c r="F62" i="25"/>
  <c r="G62" i="25" s="1"/>
  <c r="B62" i="25"/>
  <c r="E66" i="11"/>
  <c r="F66" i="11" s="1"/>
  <c r="H134" i="39"/>
  <c r="I134" i="39"/>
  <c r="F66" i="10"/>
  <c r="H66" i="10" s="1"/>
  <c r="B66" i="10"/>
  <c r="I135" i="42" l="1"/>
  <c r="D55" i="46"/>
  <c r="E55" i="46"/>
  <c r="D136" i="42"/>
  <c r="D136" i="46"/>
  <c r="G135" i="46"/>
  <c r="G56" i="39"/>
  <c r="I56" i="39" s="1"/>
  <c r="H54" i="45"/>
  <c r="H64" i="6"/>
  <c r="G58" i="28"/>
  <c r="I58" i="28" s="1"/>
  <c r="H59" i="27"/>
  <c r="D60" i="27"/>
  <c r="G59" i="27"/>
  <c r="G67" i="7"/>
  <c r="I67" i="7" s="1"/>
  <c r="D67" i="9"/>
  <c r="G66" i="9"/>
  <c r="H62" i="25"/>
  <c r="E65" i="6"/>
  <c r="F65" i="6" s="1"/>
  <c r="B65" i="6"/>
  <c r="D55" i="44"/>
  <c r="E55" i="44"/>
  <c r="G64" i="6"/>
  <c r="H66" i="9"/>
  <c r="H54" i="44"/>
  <c r="I54" i="44" s="1"/>
  <c r="F142" i="25"/>
  <c r="B142" i="25"/>
  <c r="B143" i="5"/>
  <c r="F143" i="5"/>
  <c r="H140" i="23"/>
  <c r="I140" i="23"/>
  <c r="B137" i="30"/>
  <c r="F137" i="30"/>
  <c r="H145" i="10"/>
  <c r="I145" i="10"/>
  <c r="J145" i="10" s="1"/>
  <c r="H141" i="25"/>
  <c r="I141" i="25"/>
  <c r="F142" i="22"/>
  <c r="B142" i="22"/>
  <c r="I138" i="27"/>
  <c r="J138" i="27" s="1"/>
  <c r="H138" i="27"/>
  <c r="F140" i="24"/>
  <c r="B140" i="24"/>
  <c r="D136" i="38"/>
  <c r="E136" i="38"/>
  <c r="G135" i="38"/>
  <c r="F145" i="9"/>
  <c r="B145" i="9"/>
  <c r="H143" i="6"/>
  <c r="I143" i="6"/>
  <c r="I142" i="4"/>
  <c r="H142" i="4"/>
  <c r="H142" i="5"/>
  <c r="I142" i="5"/>
  <c r="B141" i="23"/>
  <c r="F141" i="23"/>
  <c r="B146" i="10"/>
  <c r="F146" i="10"/>
  <c r="H143" i="8"/>
  <c r="I143" i="8"/>
  <c r="J143" i="8" s="1"/>
  <c r="F143" i="3"/>
  <c r="B143" i="3"/>
  <c r="E146" i="7"/>
  <c r="F146" i="7" s="1"/>
  <c r="B146" i="7"/>
  <c r="H134" i="37"/>
  <c r="I134" i="37"/>
  <c r="B135" i="40"/>
  <c r="F135" i="40"/>
  <c r="H137" i="28"/>
  <c r="I137" i="28"/>
  <c r="F145" i="11"/>
  <c r="B145" i="11"/>
  <c r="F143" i="4"/>
  <c r="B143" i="4"/>
  <c r="B144" i="8"/>
  <c r="F144" i="8"/>
  <c r="B139" i="27"/>
  <c r="F139" i="27"/>
  <c r="H139" i="24"/>
  <c r="I139" i="24"/>
  <c r="F144" i="6"/>
  <c r="B144" i="6"/>
  <c r="I136" i="30"/>
  <c r="H136" i="30"/>
  <c r="H144" i="9"/>
  <c r="I144" i="9"/>
  <c r="H142" i="3"/>
  <c r="I142" i="3"/>
  <c r="H141" i="22"/>
  <c r="I141" i="22"/>
  <c r="I145" i="7"/>
  <c r="H145" i="7"/>
  <c r="B135" i="37"/>
  <c r="F135" i="37"/>
  <c r="H134" i="40"/>
  <c r="I134" i="40"/>
  <c r="B138" i="28"/>
  <c r="F138" i="28"/>
  <c r="H144" i="11"/>
  <c r="I144" i="11"/>
  <c r="J138" i="29"/>
  <c r="D140" i="29"/>
  <c r="E140" i="29"/>
  <c r="G139" i="29"/>
  <c r="D65" i="4"/>
  <c r="G64" i="4"/>
  <c r="H64" i="4"/>
  <c r="D63" i="22"/>
  <c r="E63" i="22" s="1"/>
  <c r="H62" i="22"/>
  <c r="G62" i="22"/>
  <c r="D67" i="11"/>
  <c r="E67" i="11" s="1"/>
  <c r="G66" i="11"/>
  <c r="H66" i="11"/>
  <c r="I134" i="41"/>
  <c r="H134" i="41"/>
  <c r="D57" i="13"/>
  <c r="E57" i="13" s="1"/>
  <c r="H64" i="8"/>
  <c r="I64" i="8" s="1"/>
  <c r="I134" i="45"/>
  <c r="H134" i="45"/>
  <c r="D55" i="42"/>
  <c r="E55" i="42" s="1"/>
  <c r="H56" i="13"/>
  <c r="D56" i="38"/>
  <c r="E56" i="38"/>
  <c r="D65" i="3"/>
  <c r="E65" i="3" s="1"/>
  <c r="D56" i="40"/>
  <c r="E56" i="40"/>
  <c r="F135" i="45"/>
  <c r="B135" i="45"/>
  <c r="G56" i="13"/>
  <c r="H138" i="31"/>
  <c r="I138" i="31"/>
  <c r="G55" i="38"/>
  <c r="I55" i="38" s="1"/>
  <c r="I54" i="45"/>
  <c r="D57" i="39"/>
  <c r="E57" i="39" s="1"/>
  <c r="D58" i="30"/>
  <c r="E58" i="30" s="1"/>
  <c r="D65" i="5"/>
  <c r="G55" i="40"/>
  <c r="I55" i="40" s="1"/>
  <c r="D61" i="24"/>
  <c r="E61" i="24" s="1"/>
  <c r="I135" i="44"/>
  <c r="H135" i="44"/>
  <c r="B60" i="29"/>
  <c r="F60" i="29"/>
  <c r="D56" i="37"/>
  <c r="E56" i="37"/>
  <c r="B139" i="31"/>
  <c r="F139" i="31"/>
  <c r="D63" i="25"/>
  <c r="E63" i="25" s="1"/>
  <c r="D56" i="41"/>
  <c r="E56" i="41" s="1"/>
  <c r="G66" i="10"/>
  <c r="I66" i="10" s="1"/>
  <c r="E56" i="43"/>
  <c r="D56" i="43"/>
  <c r="G64" i="5"/>
  <c r="H64" i="3"/>
  <c r="I64" i="3" s="1"/>
  <c r="B136" i="44"/>
  <c r="D59" i="28"/>
  <c r="E59" i="28" s="1"/>
  <c r="H55" i="37"/>
  <c r="D62" i="23"/>
  <c r="E62" i="23" s="1"/>
  <c r="D65" i="8"/>
  <c r="E65" i="8" s="1"/>
  <c r="B135" i="41"/>
  <c r="F135" i="41"/>
  <c r="H57" i="30"/>
  <c r="I57" i="30" s="1"/>
  <c r="H64" i="5"/>
  <c r="G60" i="24"/>
  <c r="I60" i="24" s="1"/>
  <c r="E136" i="44"/>
  <c r="F136" i="44" s="1"/>
  <c r="H134" i="43"/>
  <c r="I134" i="43"/>
  <c r="H61" i="23"/>
  <c r="G135" i="39"/>
  <c r="E136" i="39"/>
  <c r="D136" i="39"/>
  <c r="F58" i="31"/>
  <c r="G58" i="31" s="1"/>
  <c r="H58" i="31"/>
  <c r="B58" i="31"/>
  <c r="D68" i="7"/>
  <c r="E68" i="7" s="1"/>
  <c r="H55" i="43"/>
  <c r="I55" i="43" s="1"/>
  <c r="H136" i="13"/>
  <c r="I136" i="13"/>
  <c r="F135" i="43"/>
  <c r="B135" i="43"/>
  <c r="G54" i="42"/>
  <c r="G55" i="37"/>
  <c r="I62" i="25"/>
  <c r="D67" i="10"/>
  <c r="E67" i="10" s="1"/>
  <c r="D55" i="45"/>
  <c r="E55" i="45"/>
  <c r="G55" i="41"/>
  <c r="I55" i="41" s="1"/>
  <c r="F137" i="13"/>
  <c r="B137" i="13"/>
  <c r="H54" i="42"/>
  <c r="G61" i="23"/>
  <c r="F55" i="46" l="1"/>
  <c r="B55" i="46"/>
  <c r="H55" i="46"/>
  <c r="G55" i="46"/>
  <c r="I55" i="46" s="1"/>
  <c r="I64" i="4"/>
  <c r="I64" i="6"/>
  <c r="H135" i="46"/>
  <c r="I135" i="46"/>
  <c r="E136" i="46"/>
  <c r="F136" i="46" s="1"/>
  <c r="B136" i="46"/>
  <c r="E136" i="42"/>
  <c r="F136" i="42" s="1"/>
  <c r="E137" i="42" s="1"/>
  <c r="B136" i="42"/>
  <c r="J136" i="30"/>
  <c r="J137" i="28"/>
  <c r="J145" i="7"/>
  <c r="I66" i="9"/>
  <c r="I54" i="42"/>
  <c r="G65" i="6"/>
  <c r="D66" i="6"/>
  <c r="H65" i="6"/>
  <c r="E67" i="9"/>
  <c r="F67" i="9" s="1"/>
  <c r="H67" i="9" s="1"/>
  <c r="B67" i="9"/>
  <c r="B60" i="27"/>
  <c r="B55" i="44"/>
  <c r="F55" i="44"/>
  <c r="H55" i="44" s="1"/>
  <c r="E60" i="27"/>
  <c r="F60" i="27" s="1"/>
  <c r="I59" i="27"/>
  <c r="J142" i="3"/>
  <c r="D145" i="8"/>
  <c r="E145" i="8" s="1"/>
  <c r="G144" i="8"/>
  <c r="E136" i="40"/>
  <c r="D136" i="40"/>
  <c r="G135" i="40"/>
  <c r="D144" i="3"/>
  <c r="E144" i="3" s="1"/>
  <c r="G143" i="3"/>
  <c r="E138" i="30"/>
  <c r="D138" i="30"/>
  <c r="G137" i="30"/>
  <c r="D144" i="5"/>
  <c r="E144" i="5" s="1"/>
  <c r="G143" i="5"/>
  <c r="G145" i="11"/>
  <c r="D146" i="11"/>
  <c r="E146" i="11" s="1"/>
  <c r="D147" i="7"/>
  <c r="G146" i="7"/>
  <c r="G141" i="23"/>
  <c r="D142" i="23"/>
  <c r="E142" i="23"/>
  <c r="F136" i="38"/>
  <c r="B136" i="38"/>
  <c r="G138" i="28"/>
  <c r="D139" i="28"/>
  <c r="E139" i="28"/>
  <c r="G135" i="37"/>
  <c r="D136" i="37"/>
  <c r="E136" i="37"/>
  <c r="G139" i="27"/>
  <c r="D140" i="27"/>
  <c r="E140" i="27"/>
  <c r="J142" i="4"/>
  <c r="G145" i="9"/>
  <c r="D146" i="9"/>
  <c r="G144" i="6"/>
  <c r="D145" i="6"/>
  <c r="E145" i="6" s="1"/>
  <c r="D144" i="4"/>
  <c r="E144" i="4" s="1"/>
  <c r="G143" i="4"/>
  <c r="D147" i="10"/>
  <c r="G146" i="10"/>
  <c r="J142" i="5"/>
  <c r="J143" i="6"/>
  <c r="I135" i="38"/>
  <c r="H135" i="38"/>
  <c r="E141" i="24"/>
  <c r="G140" i="24"/>
  <c r="D141" i="24"/>
  <c r="D143" i="22"/>
  <c r="E143" i="22"/>
  <c r="G142" i="22"/>
  <c r="G142" i="25"/>
  <c r="D143" i="25"/>
  <c r="E143" i="25"/>
  <c r="F140" i="29"/>
  <c r="B140" i="29"/>
  <c r="I139" i="29"/>
  <c r="H139" i="29"/>
  <c r="G135" i="41"/>
  <c r="D136" i="41"/>
  <c r="E136" i="41"/>
  <c r="B55" i="42"/>
  <c r="F55" i="42"/>
  <c r="I62" i="22"/>
  <c r="I58" i="31"/>
  <c r="G139" i="31"/>
  <c r="D140" i="31"/>
  <c r="E140" i="31"/>
  <c r="D59" i="31"/>
  <c r="E59" i="31" s="1"/>
  <c r="F136" i="39"/>
  <c r="B136" i="39"/>
  <c r="B65" i="4"/>
  <c r="F55" i="45"/>
  <c r="G55" i="45" s="1"/>
  <c r="B55" i="45"/>
  <c r="B59" i="28"/>
  <c r="F59" i="28"/>
  <c r="G59" i="28" s="1"/>
  <c r="F56" i="37"/>
  <c r="G56" i="37" s="1"/>
  <c r="B56" i="37"/>
  <c r="D136" i="45"/>
  <c r="G135" i="45"/>
  <c r="I66" i="11"/>
  <c r="F63" i="22"/>
  <c r="H63" i="22" s="1"/>
  <c r="B63" i="22"/>
  <c r="E65" i="4"/>
  <c r="F65" i="4" s="1"/>
  <c r="B65" i="8"/>
  <c r="F65" i="8"/>
  <c r="H65" i="8" s="1"/>
  <c r="G136" i="44"/>
  <c r="D137" i="44"/>
  <c r="B56" i="41"/>
  <c r="F56" i="41"/>
  <c r="H56" i="41" s="1"/>
  <c r="D61" i="29"/>
  <c r="B65" i="5"/>
  <c r="F57" i="39"/>
  <c r="H57" i="39" s="1"/>
  <c r="B57" i="39"/>
  <c r="F56" i="38"/>
  <c r="G56" i="38" s="1"/>
  <c r="B56" i="38"/>
  <c r="H135" i="39"/>
  <c r="I135" i="39"/>
  <c r="G137" i="13"/>
  <c r="D138" i="13"/>
  <c r="E138" i="13" s="1"/>
  <c r="B67" i="10"/>
  <c r="F67" i="10"/>
  <c r="G67" i="10" s="1"/>
  <c r="F68" i="7"/>
  <c r="G68" i="7" s="1"/>
  <c r="B68" i="7"/>
  <c r="I61" i="23"/>
  <c r="G60" i="29"/>
  <c r="E65" i="5"/>
  <c r="F65" i="5" s="1"/>
  <c r="J138" i="31"/>
  <c r="I56" i="13"/>
  <c r="B57" i="13"/>
  <c r="F57" i="13"/>
  <c r="G57" i="13" s="1"/>
  <c r="B56" i="43"/>
  <c r="F56" i="43"/>
  <c r="G56" i="43" s="1"/>
  <c r="F62" i="23"/>
  <c r="H62" i="23" s="1"/>
  <c r="B62" i="23"/>
  <c r="F63" i="25"/>
  <c r="H63" i="25" s="1"/>
  <c r="B63" i="25"/>
  <c r="H60" i="29"/>
  <c r="F56" i="40"/>
  <c r="B56" i="40"/>
  <c r="B67" i="11"/>
  <c r="F67" i="11"/>
  <c r="H67" i="11" s="1"/>
  <c r="G135" i="43"/>
  <c r="D136" i="43"/>
  <c r="E136" i="43"/>
  <c r="I55" i="37"/>
  <c r="F61" i="24"/>
  <c r="G61" i="24" s="1"/>
  <c r="B61" i="24"/>
  <c r="F58" i="30"/>
  <c r="G58" i="30" s="1"/>
  <c r="B58" i="30"/>
  <c r="B65" i="3"/>
  <c r="F65" i="3"/>
  <c r="G65" i="3" s="1"/>
  <c r="D56" i="46" l="1"/>
  <c r="E56" i="46"/>
  <c r="D137" i="46"/>
  <c r="E137" i="46" s="1"/>
  <c r="G136" i="46"/>
  <c r="D137" i="42"/>
  <c r="B137" i="42" s="1"/>
  <c r="G136" i="42"/>
  <c r="H61" i="24"/>
  <c r="G57" i="39"/>
  <c r="I57" i="39" s="1"/>
  <c r="G67" i="11"/>
  <c r="I67" i="11" s="1"/>
  <c r="H68" i="7"/>
  <c r="I68" i="7" s="1"/>
  <c r="H59" i="28"/>
  <c r="I59" i="28" s="1"/>
  <c r="H65" i="3"/>
  <c r="I65" i="3" s="1"/>
  <c r="G56" i="41"/>
  <c r="I56" i="41" s="1"/>
  <c r="H56" i="38"/>
  <c r="I56" i="38" s="1"/>
  <c r="G63" i="22"/>
  <c r="I63" i="22" s="1"/>
  <c r="H55" i="45"/>
  <c r="I55" i="45" s="1"/>
  <c r="I65" i="6"/>
  <c r="D61" i="27"/>
  <c r="H60" i="27"/>
  <c r="G60" i="27"/>
  <c r="G55" i="44"/>
  <c r="I55" i="44" s="1"/>
  <c r="E56" i="44"/>
  <c r="D56" i="44"/>
  <c r="H56" i="37"/>
  <c r="I56" i="37" s="1"/>
  <c r="E66" i="6"/>
  <c r="F66" i="6" s="1"/>
  <c r="B66" i="6"/>
  <c r="D68" i="9"/>
  <c r="G67" i="9"/>
  <c r="I67" i="9" s="1"/>
  <c r="B144" i="4"/>
  <c r="F144" i="4"/>
  <c r="I144" i="6"/>
  <c r="H144" i="6"/>
  <c r="B136" i="37"/>
  <c r="F136" i="37"/>
  <c r="H138" i="28"/>
  <c r="I138" i="28"/>
  <c r="J138" i="28" s="1"/>
  <c r="F142" i="23"/>
  <c r="B142" i="23"/>
  <c r="B147" i="7"/>
  <c r="H143" i="5"/>
  <c r="I143" i="5"/>
  <c r="F138" i="30"/>
  <c r="B138" i="30"/>
  <c r="F144" i="3"/>
  <c r="B144" i="3"/>
  <c r="F143" i="25"/>
  <c r="B143" i="25"/>
  <c r="B143" i="22"/>
  <c r="F143" i="22"/>
  <c r="H146" i="10"/>
  <c r="I146" i="10"/>
  <c r="E146" i="9"/>
  <c r="F146" i="9" s="1"/>
  <c r="B146" i="9"/>
  <c r="B140" i="27"/>
  <c r="F140" i="27"/>
  <c r="I135" i="37"/>
  <c r="H135" i="37"/>
  <c r="I141" i="23"/>
  <c r="H141" i="23"/>
  <c r="F146" i="11"/>
  <c r="B146" i="11"/>
  <c r="H135" i="40"/>
  <c r="I135" i="40"/>
  <c r="H144" i="8"/>
  <c r="I144" i="8"/>
  <c r="H142" i="25"/>
  <c r="I142" i="25"/>
  <c r="F141" i="24"/>
  <c r="B141" i="24"/>
  <c r="E147" i="10"/>
  <c r="F147" i="10" s="1"/>
  <c r="B147" i="10"/>
  <c r="H145" i="9"/>
  <c r="I145" i="9"/>
  <c r="H139" i="27"/>
  <c r="I139" i="27"/>
  <c r="G136" i="38"/>
  <c r="E137" i="38"/>
  <c r="D137" i="38"/>
  <c r="H146" i="7"/>
  <c r="I146" i="7"/>
  <c r="J146" i="7" s="1"/>
  <c r="F144" i="5"/>
  <c r="B144" i="5"/>
  <c r="H143" i="3"/>
  <c r="I143" i="3"/>
  <c r="B136" i="40"/>
  <c r="F136" i="40"/>
  <c r="F145" i="8"/>
  <c r="B145" i="8"/>
  <c r="I142" i="22"/>
  <c r="H142" i="22"/>
  <c r="I140" i="24"/>
  <c r="H140" i="24"/>
  <c r="H143" i="4"/>
  <c r="I143" i="4"/>
  <c r="F145" i="6"/>
  <c r="B145" i="6"/>
  <c r="F139" i="28"/>
  <c r="B139" i="28"/>
  <c r="E147" i="7"/>
  <c r="F147" i="7" s="1"/>
  <c r="H145" i="11"/>
  <c r="I145" i="11"/>
  <c r="H137" i="30"/>
  <c r="I137" i="30"/>
  <c r="J139" i="29"/>
  <c r="G140" i="29"/>
  <c r="E141" i="29"/>
  <c r="D141" i="29"/>
  <c r="D66" i="4"/>
  <c r="E66" i="4" s="1"/>
  <c r="G65" i="4"/>
  <c r="H65" i="4"/>
  <c r="D66" i="5"/>
  <c r="E66" i="5" s="1"/>
  <c r="H65" i="5"/>
  <c r="G65" i="5"/>
  <c r="D57" i="40"/>
  <c r="E57" i="40" s="1"/>
  <c r="B136" i="45"/>
  <c r="D58" i="13"/>
  <c r="F138" i="13"/>
  <c r="B138" i="13"/>
  <c r="G65" i="8"/>
  <c r="I65" i="8" s="1"/>
  <c r="B59" i="31"/>
  <c r="F59" i="31"/>
  <c r="G59" i="31" s="1"/>
  <c r="H139" i="31"/>
  <c r="I139" i="31"/>
  <c r="F140" i="31"/>
  <c r="B140" i="31"/>
  <c r="D63" i="23"/>
  <c r="E63" i="23" s="1"/>
  <c r="H137" i="13"/>
  <c r="I137" i="13"/>
  <c r="D58" i="39"/>
  <c r="E58" i="39" s="1"/>
  <c r="E56" i="45"/>
  <c r="D56" i="45"/>
  <c r="D56" i="42"/>
  <c r="E56" i="42" s="1"/>
  <c r="F136" i="41"/>
  <c r="B136" i="41"/>
  <c r="D66" i="3"/>
  <c r="I60" i="29"/>
  <c r="G62" i="23"/>
  <c r="I62" i="23" s="1"/>
  <c r="D57" i="43"/>
  <c r="D69" i="7"/>
  <c r="E69" i="7" s="1"/>
  <c r="D57" i="41"/>
  <c r="E57" i="41" s="1"/>
  <c r="D64" i="22"/>
  <c r="E64" i="22" s="1"/>
  <c r="H55" i="42"/>
  <c r="H135" i="41"/>
  <c r="I135" i="41"/>
  <c r="D59" i="30"/>
  <c r="I61" i="24"/>
  <c r="F136" i="43"/>
  <c r="B136" i="43"/>
  <c r="D68" i="11"/>
  <c r="G56" i="40"/>
  <c r="G63" i="25"/>
  <c r="I63" i="25" s="1"/>
  <c r="H56" i="43"/>
  <c r="I56" i="43" s="1"/>
  <c r="B137" i="44"/>
  <c r="D57" i="37"/>
  <c r="E57" i="37" s="1"/>
  <c r="G55" i="42"/>
  <c r="B61" i="29"/>
  <c r="H58" i="30"/>
  <c r="I58" i="30" s="1"/>
  <c r="D68" i="10"/>
  <c r="D62" i="24"/>
  <c r="E62" i="24" s="1"/>
  <c r="I135" i="43"/>
  <c r="H135" i="43"/>
  <c r="H67" i="10"/>
  <c r="I67" i="10" s="1"/>
  <c r="D57" i="38"/>
  <c r="E57" i="38"/>
  <c r="E137" i="44"/>
  <c r="F137" i="44" s="1"/>
  <c r="E136" i="45"/>
  <c r="F136" i="45" s="1"/>
  <c r="D60" i="28"/>
  <c r="E60" i="28" s="1"/>
  <c r="D66" i="8"/>
  <c r="E66" i="8" s="1"/>
  <c r="H56" i="40"/>
  <c r="D64" i="25"/>
  <c r="H57" i="13"/>
  <c r="I57" i="13" s="1"/>
  <c r="E61" i="29"/>
  <c r="F61" i="29" s="1"/>
  <c r="G61" i="29" s="1"/>
  <c r="H136" i="44"/>
  <c r="I136" i="44"/>
  <c r="I135" i="45"/>
  <c r="H135" i="45"/>
  <c r="G136" i="39"/>
  <c r="E137" i="39"/>
  <c r="D137" i="39"/>
  <c r="B56" i="46" l="1"/>
  <c r="F56" i="46"/>
  <c r="F137" i="42"/>
  <c r="I136" i="46"/>
  <c r="H136" i="46"/>
  <c r="H136" i="42"/>
  <c r="I136" i="42"/>
  <c r="B137" i="46"/>
  <c r="F137" i="46"/>
  <c r="J144" i="8"/>
  <c r="J143" i="5"/>
  <c r="J146" i="10"/>
  <c r="J143" i="3"/>
  <c r="I65" i="4"/>
  <c r="F56" i="44"/>
  <c r="H56" i="44" s="1"/>
  <c r="B56" i="44"/>
  <c r="I55" i="42"/>
  <c r="E61" i="27"/>
  <c r="F61" i="27" s="1"/>
  <c r="H61" i="27" s="1"/>
  <c r="B61" i="27"/>
  <c r="H66" i="6"/>
  <c r="G66" i="6"/>
  <c r="D67" i="6"/>
  <c r="I60" i="27"/>
  <c r="I56" i="40"/>
  <c r="E68" i="9"/>
  <c r="F68" i="9" s="1"/>
  <c r="B68" i="9"/>
  <c r="G146" i="9"/>
  <c r="D147" i="9"/>
  <c r="D148" i="7"/>
  <c r="G147" i="7"/>
  <c r="D148" i="10"/>
  <c r="G147" i="10"/>
  <c r="D140" i="28"/>
  <c r="E140" i="28"/>
  <c r="G139" i="28"/>
  <c r="G144" i="5"/>
  <c r="D145" i="5"/>
  <c r="E145" i="5" s="1"/>
  <c r="I136" i="38"/>
  <c r="H136" i="38"/>
  <c r="D144" i="25"/>
  <c r="G143" i="25"/>
  <c r="E144" i="25"/>
  <c r="G138" i="30"/>
  <c r="E139" i="30"/>
  <c r="D139" i="30"/>
  <c r="J144" i="6"/>
  <c r="J137" i="30"/>
  <c r="G145" i="6"/>
  <c r="D146" i="6"/>
  <c r="E146" i="6" s="1"/>
  <c r="D146" i="8"/>
  <c r="E146" i="8" s="1"/>
  <c r="G145" i="8"/>
  <c r="J139" i="27"/>
  <c r="D142" i="24"/>
  <c r="G141" i="24"/>
  <c r="E142" i="24"/>
  <c r="G146" i="11"/>
  <c r="D147" i="11"/>
  <c r="G143" i="22"/>
  <c r="D144" i="22"/>
  <c r="E144" i="22" s="1"/>
  <c r="G136" i="37"/>
  <c r="E137" i="37"/>
  <c r="D137" i="37"/>
  <c r="E145" i="4"/>
  <c r="G144" i="4"/>
  <c r="D145" i="4"/>
  <c r="J143" i="4"/>
  <c r="D137" i="40"/>
  <c r="G136" i="40"/>
  <c r="E137" i="40"/>
  <c r="B137" i="38"/>
  <c r="F137" i="38"/>
  <c r="G140" i="27"/>
  <c r="D141" i="27"/>
  <c r="E141" i="27"/>
  <c r="E145" i="3"/>
  <c r="G144" i="3"/>
  <c r="D145" i="3"/>
  <c r="D143" i="23"/>
  <c r="E143" i="23" s="1"/>
  <c r="G142" i="23"/>
  <c r="B141" i="29"/>
  <c r="F141" i="29"/>
  <c r="H140" i="29"/>
  <c r="I140" i="29"/>
  <c r="D138" i="44"/>
  <c r="E138" i="44" s="1"/>
  <c r="G137" i="44"/>
  <c r="B57" i="43"/>
  <c r="G140" i="31"/>
  <c r="D141" i="31"/>
  <c r="E141" i="31"/>
  <c r="B58" i="13"/>
  <c r="D137" i="45"/>
  <c r="E137" i="45" s="1"/>
  <c r="G136" i="45"/>
  <c r="F66" i="8"/>
  <c r="B66" i="8"/>
  <c r="B64" i="22"/>
  <c r="F64" i="22"/>
  <c r="G64" i="22" s="1"/>
  <c r="D137" i="41"/>
  <c r="G136" i="41"/>
  <c r="E137" i="41"/>
  <c r="J139" i="31"/>
  <c r="E58" i="13"/>
  <c r="F58" i="13" s="1"/>
  <c r="B57" i="40"/>
  <c r="F57" i="40"/>
  <c r="B68" i="11"/>
  <c r="G136" i="43"/>
  <c r="D137" i="43"/>
  <c r="E137" i="43"/>
  <c r="F66" i="5"/>
  <c r="H66" i="5" s="1"/>
  <c r="B66" i="5"/>
  <c r="B62" i="24"/>
  <c r="F62" i="24"/>
  <c r="G62" i="24" s="1"/>
  <c r="F57" i="41"/>
  <c r="H57" i="41" s="1"/>
  <c r="B57" i="41"/>
  <c r="B56" i="42"/>
  <c r="F56" i="42"/>
  <c r="G56" i="42" s="1"/>
  <c r="B63" i="23"/>
  <c r="F63" i="23"/>
  <c r="H63" i="23" s="1"/>
  <c r="H59" i="31"/>
  <c r="I59" i="31" s="1"/>
  <c r="F57" i="38"/>
  <c r="G57" i="38" s="1"/>
  <c r="B57" i="38"/>
  <c r="D62" i="29"/>
  <c r="B59" i="30"/>
  <c r="F69" i="7"/>
  <c r="G69" i="7" s="1"/>
  <c r="B69" i="7"/>
  <c r="B66" i="3"/>
  <c r="D60" i="31"/>
  <c r="E60" i="31" s="1"/>
  <c r="E138" i="42"/>
  <c r="F137" i="39"/>
  <c r="B137" i="39"/>
  <c r="B68" i="10"/>
  <c r="H61" i="29"/>
  <c r="I61" i="29" s="1"/>
  <c r="I136" i="39"/>
  <c r="H136" i="39"/>
  <c r="F60" i="28"/>
  <c r="H60" i="28" s="1"/>
  <c r="B60" i="28"/>
  <c r="E68" i="10"/>
  <c r="F68" i="10" s="1"/>
  <c r="E59" i="30"/>
  <c r="F59" i="30" s="1"/>
  <c r="E66" i="3"/>
  <c r="F66" i="3" s="1"/>
  <c r="D139" i="13"/>
  <c r="E139" i="13" s="1"/>
  <c r="G138" i="13"/>
  <c r="B64" i="25"/>
  <c r="B57" i="37"/>
  <c r="F57" i="37"/>
  <c r="G57" i="37" s="1"/>
  <c r="E64" i="25"/>
  <c r="F64" i="25" s="1"/>
  <c r="E68" i="11"/>
  <c r="F68" i="11" s="1"/>
  <c r="E57" i="43"/>
  <c r="F57" i="43" s="1"/>
  <c r="F56" i="45"/>
  <c r="G56" i="45" s="1"/>
  <c r="B56" i="45"/>
  <c r="F58" i="39"/>
  <c r="H58" i="39" s="1"/>
  <c r="B58" i="39"/>
  <c r="B66" i="4"/>
  <c r="F66" i="4"/>
  <c r="G66" i="4" s="1"/>
  <c r="G56" i="46" l="1"/>
  <c r="D57" i="46"/>
  <c r="H56" i="46"/>
  <c r="I56" i="46" s="1"/>
  <c r="G137" i="46"/>
  <c r="D138" i="46"/>
  <c r="D138" i="42"/>
  <c r="B138" i="42" s="1"/>
  <c r="G137" i="42"/>
  <c r="G57" i="41"/>
  <c r="I57" i="41" s="1"/>
  <c r="H69" i="7"/>
  <c r="H62" i="24"/>
  <c r="H57" i="37"/>
  <c r="I57" i="37" s="1"/>
  <c r="G66" i="5"/>
  <c r="E67" i="6"/>
  <c r="F67" i="6" s="1"/>
  <c r="B67" i="6"/>
  <c r="G61" i="27"/>
  <c r="I61" i="27" s="1"/>
  <c r="D62" i="27"/>
  <c r="E62" i="27" s="1"/>
  <c r="H56" i="42"/>
  <c r="I56" i="42" s="1"/>
  <c r="G68" i="9"/>
  <c r="H68" i="9"/>
  <c r="D69" i="9"/>
  <c r="E69" i="9" s="1"/>
  <c r="H66" i="4"/>
  <c r="I66" i="4" s="1"/>
  <c r="G58" i="39"/>
  <c r="I58" i="39" s="1"/>
  <c r="G60" i="28"/>
  <c r="I60" i="28" s="1"/>
  <c r="I66" i="6"/>
  <c r="G56" i="44"/>
  <c r="I56" i="44" s="1"/>
  <c r="D57" i="44"/>
  <c r="E57" i="44" s="1"/>
  <c r="B145" i="3"/>
  <c r="F145" i="3"/>
  <c r="B141" i="27"/>
  <c r="F141" i="27"/>
  <c r="F145" i="4"/>
  <c r="B145" i="4"/>
  <c r="H143" i="22"/>
  <c r="I143" i="22"/>
  <c r="H141" i="24"/>
  <c r="I141" i="24"/>
  <c r="I145" i="6"/>
  <c r="H145" i="6"/>
  <c r="F144" i="25"/>
  <c r="B144" i="25"/>
  <c r="I144" i="5"/>
  <c r="H144" i="5"/>
  <c r="B140" i="28"/>
  <c r="F140" i="28"/>
  <c r="B148" i="7"/>
  <c r="I144" i="3"/>
  <c r="H144" i="3"/>
  <c r="H140" i="27"/>
  <c r="I140" i="27"/>
  <c r="H136" i="40"/>
  <c r="I136" i="40"/>
  <c r="H144" i="4"/>
  <c r="I144" i="4"/>
  <c r="H136" i="37"/>
  <c r="I136" i="37"/>
  <c r="E147" i="11"/>
  <c r="F147" i="11" s="1"/>
  <c r="B147" i="11"/>
  <c r="B142" i="24"/>
  <c r="F142" i="24"/>
  <c r="F146" i="8"/>
  <c r="B146" i="8"/>
  <c r="H138" i="30"/>
  <c r="I138" i="30"/>
  <c r="H147" i="10"/>
  <c r="I147" i="10"/>
  <c r="J147" i="10" s="1"/>
  <c r="E148" i="7"/>
  <c r="F148" i="7" s="1"/>
  <c r="H142" i="23"/>
  <c r="I142" i="23"/>
  <c r="E138" i="38"/>
  <c r="D138" i="38"/>
  <c r="G137" i="38"/>
  <c r="B137" i="40"/>
  <c r="F137" i="40"/>
  <c r="F144" i="22"/>
  <c r="B144" i="22"/>
  <c r="H146" i="11"/>
  <c r="I146" i="11"/>
  <c r="I139" i="28"/>
  <c r="H139" i="28"/>
  <c r="E148" i="10"/>
  <c r="F148" i="10" s="1"/>
  <c r="B148" i="10"/>
  <c r="E147" i="9"/>
  <c r="F147" i="9" s="1"/>
  <c r="B147" i="9"/>
  <c r="J140" i="29"/>
  <c r="B143" i="23"/>
  <c r="F143" i="23"/>
  <c r="B137" i="37"/>
  <c r="F137" i="37"/>
  <c r="H145" i="8"/>
  <c r="I145" i="8"/>
  <c r="F146" i="6"/>
  <c r="B146" i="6"/>
  <c r="F139" i="30"/>
  <c r="B139" i="30"/>
  <c r="I143" i="25"/>
  <c r="H143" i="25"/>
  <c r="B145" i="5"/>
  <c r="F145" i="5"/>
  <c r="H147" i="7"/>
  <c r="I147" i="7"/>
  <c r="J147" i="7" s="1"/>
  <c r="I146" i="9"/>
  <c r="H146" i="9"/>
  <c r="G141" i="29"/>
  <c r="E142" i="29"/>
  <c r="D142" i="29"/>
  <c r="D60" i="30"/>
  <c r="E60" i="30" s="1"/>
  <c r="H59" i="30"/>
  <c r="G59" i="30"/>
  <c r="D69" i="10"/>
  <c r="E69" i="10" s="1"/>
  <c r="G68" i="10"/>
  <c r="H68" i="10"/>
  <c r="D59" i="13"/>
  <c r="E59" i="13" s="1"/>
  <c r="H58" i="13"/>
  <c r="G58" i="13"/>
  <c r="D67" i="3"/>
  <c r="E67" i="3" s="1"/>
  <c r="H66" i="3"/>
  <c r="G66" i="3"/>
  <c r="D58" i="43"/>
  <c r="E58" i="43" s="1"/>
  <c r="G57" i="43"/>
  <c r="H57" i="43"/>
  <c r="D69" i="11"/>
  <c r="E69" i="11"/>
  <c r="G68" i="11"/>
  <c r="H68" i="11"/>
  <c r="B62" i="29"/>
  <c r="D67" i="8"/>
  <c r="E67" i="8" s="1"/>
  <c r="D138" i="39"/>
  <c r="E138" i="39"/>
  <c r="G137" i="39"/>
  <c r="H136" i="41"/>
  <c r="I136" i="41"/>
  <c r="B137" i="43"/>
  <c r="F137" i="43"/>
  <c r="H136" i="45"/>
  <c r="I136" i="45"/>
  <c r="B137" i="45"/>
  <c r="F137" i="45"/>
  <c r="F139" i="13"/>
  <c r="B139" i="13"/>
  <c r="G63" i="23"/>
  <c r="I63" i="23" s="1"/>
  <c r="F141" i="31"/>
  <c r="B141" i="31"/>
  <c r="I69" i="7"/>
  <c r="D58" i="38"/>
  <c r="E58" i="38" s="1"/>
  <c r="D58" i="40"/>
  <c r="E58" i="40" s="1"/>
  <c r="D59" i="39"/>
  <c r="D65" i="25"/>
  <c r="D70" i="7"/>
  <c r="E70" i="7" s="1"/>
  <c r="D58" i="41"/>
  <c r="E58" i="41" s="1"/>
  <c r="H56" i="45"/>
  <c r="I56" i="45" s="1"/>
  <c r="H64" i="25"/>
  <c r="D67" i="4"/>
  <c r="E67" i="4" s="1"/>
  <c r="H57" i="40"/>
  <c r="D65" i="22"/>
  <c r="E65" i="22" s="1"/>
  <c r="G66" i="8"/>
  <c r="I140" i="31"/>
  <c r="H140" i="31"/>
  <c r="H137" i="44"/>
  <c r="I137" i="44"/>
  <c r="H138" i="13"/>
  <c r="I138" i="13"/>
  <c r="D64" i="23"/>
  <c r="E64" i="23" s="1"/>
  <c r="G57" i="40"/>
  <c r="G64" i="25"/>
  <c r="F60" i="31"/>
  <c r="H60" i="31" s="1"/>
  <c r="B60" i="31"/>
  <c r="D63" i="24"/>
  <c r="E63" i="24" s="1"/>
  <c r="H64" i="22"/>
  <c r="I64" i="22" s="1"/>
  <c r="H66" i="8"/>
  <c r="D61" i="28"/>
  <c r="E61" i="28" s="1"/>
  <c r="B137" i="41"/>
  <c r="F137" i="41"/>
  <c r="H57" i="38"/>
  <c r="I57" i="38" s="1"/>
  <c r="I136" i="43"/>
  <c r="H136" i="43"/>
  <c r="D57" i="45"/>
  <c r="E57" i="45" s="1"/>
  <c r="D58" i="37"/>
  <c r="E58" i="37" s="1"/>
  <c r="E62" i="29"/>
  <c r="F62" i="29" s="1"/>
  <c r="D57" i="42"/>
  <c r="E57" i="42" s="1"/>
  <c r="I62" i="24"/>
  <c r="D67" i="5"/>
  <c r="E67" i="5" s="1"/>
  <c r="F138" i="44"/>
  <c r="B138" i="44"/>
  <c r="E57" i="46" l="1"/>
  <c r="F57" i="46" s="1"/>
  <c r="G57" i="46" s="1"/>
  <c r="B57" i="46"/>
  <c r="E138" i="46"/>
  <c r="F138" i="46" s="1"/>
  <c r="B138" i="46"/>
  <c r="H137" i="46"/>
  <c r="I137" i="46"/>
  <c r="H137" i="42"/>
  <c r="I137" i="42"/>
  <c r="F138" i="42"/>
  <c r="J138" i="30"/>
  <c r="J145" i="6"/>
  <c r="J144" i="5"/>
  <c r="J144" i="3"/>
  <c r="I68" i="9"/>
  <c r="I66" i="3"/>
  <c r="I68" i="10"/>
  <c r="G67" i="6"/>
  <c r="D68" i="6"/>
  <c r="E68" i="6" s="1"/>
  <c r="H67" i="6"/>
  <c r="I66" i="8"/>
  <c r="I57" i="40"/>
  <c r="B57" i="44"/>
  <c r="F57" i="44"/>
  <c r="G57" i="44" s="1"/>
  <c r="B69" i="9"/>
  <c r="F69" i="9"/>
  <c r="G69" i="9" s="1"/>
  <c r="I57" i="43"/>
  <c r="F62" i="27"/>
  <c r="B62" i="27"/>
  <c r="D148" i="9"/>
  <c r="G147" i="9"/>
  <c r="G148" i="7"/>
  <c r="D149" i="7"/>
  <c r="B149" i="7" s="1"/>
  <c r="G145" i="5"/>
  <c r="D146" i="5"/>
  <c r="J145" i="8"/>
  <c r="E144" i="23"/>
  <c r="G143" i="23"/>
  <c r="D144" i="23"/>
  <c r="D147" i="8"/>
  <c r="G146" i="8"/>
  <c r="J144" i="4"/>
  <c r="J140" i="27"/>
  <c r="D142" i="27"/>
  <c r="E142" i="27"/>
  <c r="G141" i="27"/>
  <c r="E140" i="30"/>
  <c r="D140" i="30"/>
  <c r="G139" i="30"/>
  <c r="H137" i="38"/>
  <c r="I137" i="38"/>
  <c r="D143" i="24"/>
  <c r="E143" i="24" s="1"/>
  <c r="G142" i="24"/>
  <c r="D138" i="37"/>
  <c r="G137" i="37"/>
  <c r="E138" i="37"/>
  <c r="G148" i="10"/>
  <c r="D149" i="10"/>
  <c r="B149" i="10" s="1"/>
  <c r="J139" i="28"/>
  <c r="D145" i="22"/>
  <c r="G144" i="22"/>
  <c r="E145" i="22"/>
  <c r="B138" i="38"/>
  <c r="F138" i="38"/>
  <c r="E141" i="28"/>
  <c r="D141" i="28"/>
  <c r="G140" i="28"/>
  <c r="G145" i="3"/>
  <c r="D146" i="3"/>
  <c r="D147" i="6"/>
  <c r="B147" i="6" s="1"/>
  <c r="G146" i="6"/>
  <c r="E138" i="40"/>
  <c r="G137" i="40"/>
  <c r="D138" i="40"/>
  <c r="G147" i="11"/>
  <c r="D148" i="11"/>
  <c r="E148" i="11" s="1"/>
  <c r="G144" i="25"/>
  <c r="E145" i="25"/>
  <c r="D145" i="25"/>
  <c r="G145" i="4"/>
  <c r="D146" i="4"/>
  <c r="B142" i="29"/>
  <c r="F142" i="29"/>
  <c r="J140" i="31"/>
  <c r="H141" i="29"/>
  <c r="I141" i="29"/>
  <c r="D63" i="29"/>
  <c r="E63" i="29" s="1"/>
  <c r="G62" i="29"/>
  <c r="H62" i="29"/>
  <c r="B59" i="39"/>
  <c r="F138" i="39"/>
  <c r="B138" i="39"/>
  <c r="F67" i="5"/>
  <c r="B67" i="5"/>
  <c r="B64" i="23"/>
  <c r="F64" i="23"/>
  <c r="B67" i="4"/>
  <c r="F67" i="4"/>
  <c r="G67" i="4" s="1"/>
  <c r="D142" i="31"/>
  <c r="E142" i="31"/>
  <c r="G141" i="31"/>
  <c r="I59" i="30"/>
  <c r="G60" i="31"/>
  <c r="I60" i="31" s="1"/>
  <c r="I64" i="25"/>
  <c r="B67" i="8"/>
  <c r="F67" i="8"/>
  <c r="H67" i="8" s="1"/>
  <c r="I68" i="11"/>
  <c r="D138" i="41"/>
  <c r="G137" i="41"/>
  <c r="E138" i="41"/>
  <c r="F63" i="24"/>
  <c r="H63" i="24" s="1"/>
  <c r="B63" i="24"/>
  <c r="B58" i="40"/>
  <c r="F58" i="40"/>
  <c r="G58" i="40" s="1"/>
  <c r="B67" i="3"/>
  <c r="F67" i="3"/>
  <c r="H67" i="3" s="1"/>
  <c r="B60" i="30"/>
  <c r="F60" i="30"/>
  <c r="H60" i="30" s="1"/>
  <c r="B65" i="22"/>
  <c r="F65" i="22"/>
  <c r="G65" i="22" s="1"/>
  <c r="B70" i="7"/>
  <c r="F70" i="7"/>
  <c r="D138" i="43"/>
  <c r="G137" i="43"/>
  <c r="E138" i="43"/>
  <c r="F58" i="43"/>
  <c r="G58" i="43" s="1"/>
  <c r="B58" i="43"/>
  <c r="B69" i="10"/>
  <c r="F69" i="10"/>
  <c r="H69" i="10" s="1"/>
  <c r="B58" i="37"/>
  <c r="F58" i="37"/>
  <c r="H58" i="37" s="1"/>
  <c r="B65" i="25"/>
  <c r="G139" i="13"/>
  <c r="D140" i="13"/>
  <c r="E140" i="13" s="1"/>
  <c r="F69" i="11"/>
  <c r="H69" i="11" s="1"/>
  <c r="B69" i="11"/>
  <c r="I58" i="13"/>
  <c r="D61" i="31"/>
  <c r="E61" i="31" s="1"/>
  <c r="D139" i="44"/>
  <c r="G138" i="44"/>
  <c r="B57" i="45"/>
  <c r="F57" i="45"/>
  <c r="F61" i="28"/>
  <c r="B61" i="28"/>
  <c r="E65" i="25"/>
  <c r="F65" i="25" s="1"/>
  <c r="B58" i="38"/>
  <c r="F58" i="38"/>
  <c r="H58" i="38" s="1"/>
  <c r="D138" i="45"/>
  <c r="E138" i="45" s="1"/>
  <c r="G137" i="45"/>
  <c r="H137" i="39"/>
  <c r="I137" i="39"/>
  <c r="F57" i="42"/>
  <c r="G57" i="42" s="1"/>
  <c r="B57" i="42"/>
  <c r="B58" i="41"/>
  <c r="F58" i="41"/>
  <c r="G58" i="41" s="1"/>
  <c r="E59" i="39"/>
  <c r="F59" i="39" s="1"/>
  <c r="B59" i="13"/>
  <c r="F59" i="13"/>
  <c r="D58" i="46" l="1"/>
  <c r="E58" i="46"/>
  <c r="H57" i="46"/>
  <c r="I57" i="46" s="1"/>
  <c r="D139" i="42"/>
  <c r="G138" i="42"/>
  <c r="G138" i="46"/>
  <c r="D139" i="46"/>
  <c r="H58" i="43"/>
  <c r="G69" i="10"/>
  <c r="I69" i="10" s="1"/>
  <c r="H69" i="9"/>
  <c r="I69" i="9" s="1"/>
  <c r="G60" i="30"/>
  <c r="H67" i="4"/>
  <c r="I67" i="4" s="1"/>
  <c r="I62" i="29"/>
  <c r="H58" i="40"/>
  <c r="I58" i="40" s="1"/>
  <c r="I67" i="6"/>
  <c r="H57" i="42"/>
  <c r="I57" i="42" s="1"/>
  <c r="B68" i="6"/>
  <c r="F68" i="6"/>
  <c r="G67" i="3"/>
  <c r="I67" i="3" s="1"/>
  <c r="D63" i="27"/>
  <c r="G62" i="27"/>
  <c r="H62" i="27"/>
  <c r="D70" i="9"/>
  <c r="H57" i="44"/>
  <c r="I57" i="44" s="1"/>
  <c r="D58" i="44"/>
  <c r="B145" i="25"/>
  <c r="F145" i="25"/>
  <c r="E146" i="3"/>
  <c r="F146" i="3" s="1"/>
  <c r="B146" i="3"/>
  <c r="I144" i="22"/>
  <c r="H144" i="22"/>
  <c r="F138" i="37"/>
  <c r="B138" i="37"/>
  <c r="B147" i="8"/>
  <c r="B146" i="4"/>
  <c r="I147" i="11"/>
  <c r="H147" i="11"/>
  <c r="E147" i="6"/>
  <c r="F147" i="6" s="1"/>
  <c r="I145" i="3"/>
  <c r="J145" i="3" s="1"/>
  <c r="H145" i="3"/>
  <c r="D139" i="38"/>
  <c r="G138" i="38"/>
  <c r="E139" i="38"/>
  <c r="B145" i="22"/>
  <c r="F145" i="22"/>
  <c r="H148" i="10"/>
  <c r="I148" i="10"/>
  <c r="J148" i="10" s="1"/>
  <c r="H142" i="24"/>
  <c r="I142" i="24"/>
  <c r="I141" i="27"/>
  <c r="H141" i="27"/>
  <c r="B144" i="23"/>
  <c r="F144" i="23"/>
  <c r="E146" i="5"/>
  <c r="F146" i="5" s="1"/>
  <c r="B146" i="5"/>
  <c r="I148" i="7"/>
  <c r="H148" i="7"/>
  <c r="E146" i="4"/>
  <c r="F146" i="4" s="1"/>
  <c r="H144" i="25"/>
  <c r="I144" i="25"/>
  <c r="B138" i="40"/>
  <c r="F138" i="40"/>
  <c r="H146" i="6"/>
  <c r="I146" i="6"/>
  <c r="H140" i="28"/>
  <c r="I140" i="28"/>
  <c r="I139" i="30"/>
  <c r="H139" i="30"/>
  <c r="H146" i="8"/>
  <c r="I146" i="8"/>
  <c r="H143" i="23"/>
  <c r="I143" i="23"/>
  <c r="I145" i="5"/>
  <c r="H145" i="5"/>
  <c r="H147" i="9"/>
  <c r="I147" i="9"/>
  <c r="H145" i="4"/>
  <c r="I145" i="4"/>
  <c r="F148" i="11"/>
  <c r="B148" i="11"/>
  <c r="H137" i="40"/>
  <c r="I137" i="40"/>
  <c r="B141" i="28"/>
  <c r="F141" i="28"/>
  <c r="E149" i="10"/>
  <c r="F149" i="10" s="1"/>
  <c r="H137" i="37"/>
  <c r="I137" i="37"/>
  <c r="B143" i="24"/>
  <c r="F143" i="24"/>
  <c r="F140" i="30"/>
  <c r="B140" i="30"/>
  <c r="B142" i="27"/>
  <c r="F142" i="27"/>
  <c r="E147" i="8"/>
  <c r="F147" i="8" s="1"/>
  <c r="E149" i="7"/>
  <c r="F149" i="7" s="1"/>
  <c r="E148" i="9"/>
  <c r="F148" i="9" s="1"/>
  <c r="B148" i="9"/>
  <c r="D143" i="29"/>
  <c r="E143" i="29" s="1"/>
  <c r="G142" i="29"/>
  <c r="J141" i="29"/>
  <c r="D66" i="25"/>
  <c r="H65" i="25"/>
  <c r="G65" i="25"/>
  <c r="D60" i="39"/>
  <c r="G59" i="39"/>
  <c r="H59" i="39"/>
  <c r="B139" i="44"/>
  <c r="I58" i="43"/>
  <c r="D71" i="7"/>
  <c r="E71" i="7" s="1"/>
  <c r="D68" i="5"/>
  <c r="E68" i="5" s="1"/>
  <c r="D62" i="28"/>
  <c r="H61" i="28"/>
  <c r="D70" i="11"/>
  <c r="D59" i="37"/>
  <c r="E59" i="37" s="1"/>
  <c r="D64" i="24"/>
  <c r="E64" i="24" s="1"/>
  <c r="H141" i="31"/>
  <c r="I141" i="31"/>
  <c r="G67" i="5"/>
  <c r="H137" i="45"/>
  <c r="I137" i="45"/>
  <c r="F61" i="31"/>
  <c r="B61" i="31"/>
  <c r="D59" i="43"/>
  <c r="E59" i="43" s="1"/>
  <c r="I60" i="30"/>
  <c r="D65" i="23"/>
  <c r="D60" i="13"/>
  <c r="E60" i="13" s="1"/>
  <c r="D58" i="45"/>
  <c r="E58" i="45" s="1"/>
  <c r="H137" i="41"/>
  <c r="I137" i="41"/>
  <c r="B142" i="31"/>
  <c r="F142" i="31"/>
  <c r="F63" i="29"/>
  <c r="H63" i="29" s="1"/>
  <c r="B63" i="29"/>
  <c r="F138" i="45"/>
  <c r="B138" i="45"/>
  <c r="D59" i="41"/>
  <c r="E59" i="41" s="1"/>
  <c r="D59" i="38"/>
  <c r="E59" i="38" s="1"/>
  <c r="G57" i="45"/>
  <c r="H137" i="43"/>
  <c r="I137" i="43"/>
  <c r="D61" i="30"/>
  <c r="E61" i="30" s="1"/>
  <c r="D59" i="40"/>
  <c r="B138" i="41"/>
  <c r="F138" i="41"/>
  <c r="H64" i="23"/>
  <c r="G61" i="28"/>
  <c r="G59" i="13"/>
  <c r="H57" i="45"/>
  <c r="F140" i="13"/>
  <c r="B140" i="13"/>
  <c r="D70" i="10"/>
  <c r="F138" i="43"/>
  <c r="B138" i="43"/>
  <c r="D66" i="22"/>
  <c r="G64" i="23"/>
  <c r="D58" i="42"/>
  <c r="H138" i="44"/>
  <c r="I138" i="44"/>
  <c r="G69" i="11"/>
  <c r="I69" i="11" s="1"/>
  <c r="H139" i="13"/>
  <c r="I139" i="13"/>
  <c r="G70" i="7"/>
  <c r="D68" i="8"/>
  <c r="E68" i="8" s="1"/>
  <c r="D68" i="4"/>
  <c r="D139" i="39"/>
  <c r="G138" i="39"/>
  <c r="E139" i="39"/>
  <c r="H59" i="13"/>
  <c r="H58" i="41"/>
  <c r="I58" i="41" s="1"/>
  <c r="G58" i="38"/>
  <c r="I58" i="38" s="1"/>
  <c r="E139" i="44"/>
  <c r="F139" i="44" s="1"/>
  <c r="G58" i="37"/>
  <c r="I58" i="37" s="1"/>
  <c r="H70" i="7"/>
  <c r="H65" i="22"/>
  <c r="I65" i="22" s="1"/>
  <c r="D68" i="3"/>
  <c r="G63" i="24"/>
  <c r="I63" i="24" s="1"/>
  <c r="G67" i="8"/>
  <c r="I67" i="8" s="1"/>
  <c r="H67" i="5"/>
  <c r="F58" i="46" l="1"/>
  <c r="D59" i="46" s="1"/>
  <c r="E59" i="46" s="1"/>
  <c r="F59" i="46" s="1"/>
  <c r="H59" i="46" s="1"/>
  <c r="B58" i="46"/>
  <c r="H58" i="46"/>
  <c r="G58" i="46"/>
  <c r="E139" i="46"/>
  <c r="B139" i="46"/>
  <c r="F139" i="46"/>
  <c r="H138" i="46"/>
  <c r="I138" i="46"/>
  <c r="I138" i="42"/>
  <c r="H138" i="42"/>
  <c r="E139" i="42"/>
  <c r="F139" i="42" s="1"/>
  <c r="B139" i="42"/>
  <c r="J148" i="7"/>
  <c r="J146" i="6"/>
  <c r="J145" i="5"/>
  <c r="I59" i="13"/>
  <c r="I65" i="25"/>
  <c r="B58" i="44"/>
  <c r="G63" i="29"/>
  <c r="I63" i="29" s="1"/>
  <c r="I62" i="27"/>
  <c r="G68" i="6"/>
  <c r="D69" i="6"/>
  <c r="E69" i="6" s="1"/>
  <c r="I57" i="45"/>
  <c r="B70" i="9"/>
  <c r="B63" i="27"/>
  <c r="H68" i="6"/>
  <c r="E58" i="44"/>
  <c r="F58" i="44" s="1"/>
  <c r="E70" i="9"/>
  <c r="F70" i="9" s="1"/>
  <c r="E63" i="27"/>
  <c r="F63" i="27" s="1"/>
  <c r="G148" i="9"/>
  <c r="D149" i="9"/>
  <c r="B149" i="9" s="1"/>
  <c r="G146" i="3"/>
  <c r="D147" i="3"/>
  <c r="G146" i="4"/>
  <c r="D147" i="4"/>
  <c r="D148" i="8"/>
  <c r="B148" i="8" s="1"/>
  <c r="G147" i="8"/>
  <c r="G142" i="27"/>
  <c r="D143" i="27"/>
  <c r="E143" i="27" s="1"/>
  <c r="D144" i="24"/>
  <c r="E144" i="24" s="1"/>
  <c r="G143" i="24"/>
  <c r="D150" i="10"/>
  <c r="G149" i="10"/>
  <c r="J141" i="27"/>
  <c r="H138" i="38"/>
  <c r="I138" i="38"/>
  <c r="G147" i="6"/>
  <c r="D148" i="6"/>
  <c r="B148" i="6" s="1"/>
  <c r="E139" i="37"/>
  <c r="D139" i="37"/>
  <c r="G138" i="37"/>
  <c r="G141" i="28"/>
  <c r="D142" i="28"/>
  <c r="E142" i="28" s="1"/>
  <c r="G144" i="23"/>
  <c r="D145" i="23"/>
  <c r="D146" i="22"/>
  <c r="G145" i="22"/>
  <c r="B139" i="38"/>
  <c r="F139" i="38"/>
  <c r="G149" i="7"/>
  <c r="D150" i="7"/>
  <c r="G148" i="11"/>
  <c r="D149" i="11"/>
  <c r="J139" i="30"/>
  <c r="D146" i="25"/>
  <c r="G145" i="25"/>
  <c r="E146" i="25"/>
  <c r="G140" i="30"/>
  <c r="E141" i="30"/>
  <c r="D141" i="30"/>
  <c r="J145" i="4"/>
  <c r="J146" i="8"/>
  <c r="J140" i="28"/>
  <c r="G138" i="40"/>
  <c r="D139" i="40"/>
  <c r="E139" i="40"/>
  <c r="G146" i="5"/>
  <c r="D147" i="5"/>
  <c r="B143" i="29"/>
  <c r="F143" i="29"/>
  <c r="I142" i="29"/>
  <c r="H142" i="29"/>
  <c r="D140" i="44"/>
  <c r="E140" i="44" s="1"/>
  <c r="G139" i="44"/>
  <c r="B59" i="40"/>
  <c r="D62" i="31"/>
  <c r="E62" i="31" s="1"/>
  <c r="B70" i="11"/>
  <c r="B66" i="25"/>
  <c r="B58" i="42"/>
  <c r="F59" i="38"/>
  <c r="H59" i="38" s="1"/>
  <c r="B59" i="38"/>
  <c r="B65" i="23"/>
  <c r="E66" i="25"/>
  <c r="F66" i="25" s="1"/>
  <c r="B66" i="22"/>
  <c r="D139" i="43"/>
  <c r="G138" i="43"/>
  <c r="E139" i="43"/>
  <c r="I64" i="23"/>
  <c r="D64" i="29"/>
  <c r="E64" i="29" s="1"/>
  <c r="E65" i="23"/>
  <c r="F65" i="23" s="1"/>
  <c r="I59" i="39"/>
  <c r="B70" i="10"/>
  <c r="B59" i="43"/>
  <c r="F59" i="43"/>
  <c r="I61" i="28"/>
  <c r="B68" i="3"/>
  <c r="F61" i="30"/>
  <c r="H61" i="30" s="1"/>
  <c r="B61" i="30"/>
  <c r="F59" i="41"/>
  <c r="B59" i="41"/>
  <c r="B58" i="45"/>
  <c r="F58" i="45"/>
  <c r="G58" i="45" s="1"/>
  <c r="F64" i="24"/>
  <c r="H64" i="24" s="1"/>
  <c r="B64" i="24"/>
  <c r="B62" i="28"/>
  <c r="B60" i="39"/>
  <c r="B68" i="4"/>
  <c r="F68" i="8"/>
  <c r="H68" i="8" s="1"/>
  <c r="B68" i="8"/>
  <c r="E70" i="10"/>
  <c r="F70" i="10" s="1"/>
  <c r="H70" i="10" s="1"/>
  <c r="E68" i="3"/>
  <c r="F68" i="3" s="1"/>
  <c r="I138" i="39"/>
  <c r="H138" i="39"/>
  <c r="G138" i="41"/>
  <c r="D139" i="41"/>
  <c r="E139" i="41"/>
  <c r="B60" i="13"/>
  <c r="F60" i="13"/>
  <c r="H60" i="13" s="1"/>
  <c r="E62" i="28"/>
  <c r="F62" i="28" s="1"/>
  <c r="E60" i="39"/>
  <c r="F60" i="39" s="1"/>
  <c r="B139" i="39"/>
  <c r="F139" i="39"/>
  <c r="G140" i="13"/>
  <c r="D141" i="13"/>
  <c r="G138" i="45"/>
  <c r="D139" i="45"/>
  <c r="E139" i="45" s="1"/>
  <c r="H61" i="31"/>
  <c r="J141" i="31"/>
  <c r="F59" i="37"/>
  <c r="H59" i="37" s="1"/>
  <c r="B59" i="37"/>
  <c r="F68" i="5"/>
  <c r="H68" i="5" s="1"/>
  <c r="B68" i="5"/>
  <c r="B71" i="7"/>
  <c r="F71" i="7"/>
  <c r="G71" i="7" s="1"/>
  <c r="I70" i="7"/>
  <c r="E68" i="4"/>
  <c r="F68" i="4" s="1"/>
  <c r="E58" i="42"/>
  <c r="F58" i="42" s="1"/>
  <c r="E66" i="22"/>
  <c r="F66" i="22" s="1"/>
  <c r="E59" i="40"/>
  <c r="F59" i="40" s="1"/>
  <c r="D143" i="31"/>
  <c r="E143" i="31" s="1"/>
  <c r="G142" i="31"/>
  <c r="G61" i="31"/>
  <c r="E70" i="11"/>
  <c r="F70" i="11" s="1"/>
  <c r="B59" i="46" l="1"/>
  <c r="I58" i="46"/>
  <c r="D60" i="46"/>
  <c r="E60" i="46" s="1"/>
  <c r="F60" i="46" s="1"/>
  <c r="D61" i="46" s="1"/>
  <c r="G59" i="46"/>
  <c r="I59" i="46" s="1"/>
  <c r="G139" i="42"/>
  <c r="D140" i="42"/>
  <c r="B140" i="42" s="1"/>
  <c r="E140" i="42"/>
  <c r="D140" i="46"/>
  <c r="G139" i="46"/>
  <c r="E148" i="8"/>
  <c r="F148" i="8" s="1"/>
  <c r="G59" i="37"/>
  <c r="I59" i="37" s="1"/>
  <c r="G68" i="8"/>
  <c r="I68" i="8" s="1"/>
  <c r="G61" i="30"/>
  <c r="I61" i="30" s="1"/>
  <c r="I68" i="6"/>
  <c r="H58" i="45"/>
  <c r="I58" i="45" s="1"/>
  <c r="H63" i="27"/>
  <c r="D64" i="27"/>
  <c r="G63" i="27"/>
  <c r="D59" i="44"/>
  <c r="H58" i="44"/>
  <c r="G70" i="9"/>
  <c r="D71" i="9"/>
  <c r="H70" i="9"/>
  <c r="G58" i="44"/>
  <c r="F69" i="6"/>
  <c r="H69" i="6" s="1"/>
  <c r="B69" i="6"/>
  <c r="E147" i="5"/>
  <c r="B147" i="5"/>
  <c r="F147" i="5"/>
  <c r="H138" i="40"/>
  <c r="I138" i="40"/>
  <c r="F141" i="30"/>
  <c r="B141" i="30"/>
  <c r="H145" i="25"/>
  <c r="I145" i="25"/>
  <c r="H148" i="11"/>
  <c r="I148" i="11"/>
  <c r="E145" i="23"/>
  <c r="F145" i="23" s="1"/>
  <c r="B145" i="23"/>
  <c r="I141" i="28"/>
  <c r="H141" i="28"/>
  <c r="E148" i="6"/>
  <c r="F148" i="6" s="1"/>
  <c r="H143" i="24"/>
  <c r="I143" i="24"/>
  <c r="I142" i="27"/>
  <c r="H142" i="27"/>
  <c r="H146" i="3"/>
  <c r="I146" i="3"/>
  <c r="J146" i="3" s="1"/>
  <c r="I146" i="5"/>
  <c r="J146" i="5" s="1"/>
  <c r="H146" i="5"/>
  <c r="B146" i="25"/>
  <c r="F146" i="25"/>
  <c r="E150" i="7"/>
  <c r="F150" i="7" s="1"/>
  <c r="B150" i="7"/>
  <c r="H145" i="22"/>
  <c r="I145" i="22"/>
  <c r="H144" i="23"/>
  <c r="I144" i="23"/>
  <c r="H138" i="37"/>
  <c r="I138" i="37"/>
  <c r="E147" i="4"/>
  <c r="F147" i="4" s="1"/>
  <c r="B147" i="4"/>
  <c r="E149" i="9"/>
  <c r="F149" i="9" s="1"/>
  <c r="H140" i="30"/>
  <c r="I140" i="30"/>
  <c r="H149" i="7"/>
  <c r="I149" i="7"/>
  <c r="B146" i="22"/>
  <c r="F139" i="37"/>
  <c r="B139" i="37"/>
  <c r="H147" i="6"/>
  <c r="I147" i="6"/>
  <c r="J147" i="6" s="1"/>
  <c r="I149" i="10"/>
  <c r="H149" i="10"/>
  <c r="F144" i="24"/>
  <c r="B144" i="24"/>
  <c r="G148" i="8"/>
  <c r="D149" i="8"/>
  <c r="H146" i="4"/>
  <c r="I146" i="4"/>
  <c r="J146" i="4" s="1"/>
  <c r="F139" i="40"/>
  <c r="B139" i="40"/>
  <c r="E149" i="11"/>
  <c r="F149" i="11" s="1"/>
  <c r="B149" i="11"/>
  <c r="E140" i="38"/>
  <c r="G139" i="38"/>
  <c r="D140" i="38"/>
  <c r="E146" i="22"/>
  <c r="F146" i="22" s="1"/>
  <c r="B142" i="28"/>
  <c r="F142" i="28"/>
  <c r="E150" i="10"/>
  <c r="F150" i="10" s="1"/>
  <c r="B150" i="10"/>
  <c r="B143" i="27"/>
  <c r="F143" i="27"/>
  <c r="H147" i="8"/>
  <c r="I147" i="8"/>
  <c r="E147" i="3"/>
  <c r="F147" i="3" s="1"/>
  <c r="B147" i="3"/>
  <c r="I148" i="9"/>
  <c r="H148" i="9"/>
  <c r="J142" i="29"/>
  <c r="G143" i="29"/>
  <c r="D144" i="29"/>
  <c r="E144" i="29" s="1"/>
  <c r="D60" i="40"/>
  <c r="E60" i="40" s="1"/>
  <c r="H59" i="40"/>
  <c r="G59" i="40"/>
  <c r="D66" i="23"/>
  <c r="E66" i="23" s="1"/>
  <c r="G65" i="23"/>
  <c r="H65" i="23"/>
  <c r="D67" i="25"/>
  <c r="E67" i="25" s="1"/>
  <c r="G66" i="25"/>
  <c r="H66" i="25"/>
  <c r="D71" i="11"/>
  <c r="E71" i="11" s="1"/>
  <c r="H70" i="11"/>
  <c r="G70" i="11"/>
  <c r="D69" i="3"/>
  <c r="G68" i="3"/>
  <c r="H68" i="3"/>
  <c r="D67" i="22"/>
  <c r="E67" i="22" s="1"/>
  <c r="G66" i="22"/>
  <c r="H66" i="22"/>
  <c r="D69" i="4"/>
  <c r="G68" i="4"/>
  <c r="H68" i="4"/>
  <c r="D61" i="39"/>
  <c r="E61" i="39" s="1"/>
  <c r="H60" i="39"/>
  <c r="G60" i="39"/>
  <c r="D59" i="42"/>
  <c r="E59" i="42" s="1"/>
  <c r="G58" i="42"/>
  <c r="H58" i="42"/>
  <c r="D63" i="28"/>
  <c r="E63" i="28" s="1"/>
  <c r="G62" i="28"/>
  <c r="H62" i="28"/>
  <c r="H140" i="13"/>
  <c r="I140" i="13"/>
  <c r="D60" i="41"/>
  <c r="E60" i="41" s="1"/>
  <c r="I138" i="43"/>
  <c r="H138" i="43"/>
  <c r="D71" i="10"/>
  <c r="F139" i="43"/>
  <c r="B139" i="43"/>
  <c r="B143" i="31"/>
  <c r="F143" i="31"/>
  <c r="D69" i="8"/>
  <c r="E69" i="8" s="1"/>
  <c r="G70" i="10"/>
  <c r="I70" i="10" s="1"/>
  <c r="B139" i="41"/>
  <c r="F139" i="41"/>
  <c r="D65" i="24"/>
  <c r="E65" i="24" s="1"/>
  <c r="I139" i="44"/>
  <c r="H139" i="44"/>
  <c r="I142" i="31"/>
  <c r="H142" i="31"/>
  <c r="D69" i="5"/>
  <c r="F139" i="45"/>
  <c r="B139" i="45"/>
  <c r="I138" i="41"/>
  <c r="H138" i="41"/>
  <c r="G64" i="24"/>
  <c r="I64" i="24" s="1"/>
  <c r="D62" i="30"/>
  <c r="E62" i="30" s="1"/>
  <c r="D60" i="43"/>
  <c r="E60" i="43" s="1"/>
  <c r="F64" i="29"/>
  <c r="H64" i="29" s="1"/>
  <c r="B64" i="29"/>
  <c r="B140" i="44"/>
  <c r="F140" i="44"/>
  <c r="G68" i="5"/>
  <c r="I61" i="31"/>
  <c r="H138" i="45"/>
  <c r="I138" i="45"/>
  <c r="G59" i="41"/>
  <c r="H59" i="43"/>
  <c r="F62" i="31"/>
  <c r="B62" i="31"/>
  <c r="D60" i="37"/>
  <c r="E60" i="37" s="1"/>
  <c r="B141" i="13"/>
  <c r="D61" i="13"/>
  <c r="E61" i="13" s="1"/>
  <c r="G59" i="43"/>
  <c r="D60" i="38"/>
  <c r="E60" i="38" s="1"/>
  <c r="E140" i="39"/>
  <c r="D140" i="39"/>
  <c r="G139" i="39"/>
  <c r="D72" i="7"/>
  <c r="E72" i="7" s="1"/>
  <c r="E73" i="7" s="1"/>
  <c r="H71" i="7"/>
  <c r="I71" i="7" s="1"/>
  <c r="E141" i="13"/>
  <c r="F141" i="13" s="1"/>
  <c r="G60" i="13"/>
  <c r="I60" i="13" s="1"/>
  <c r="D59" i="45"/>
  <c r="E59" i="45" s="1"/>
  <c r="H59" i="41"/>
  <c r="G59" i="38"/>
  <c r="I59" i="38" s="1"/>
  <c r="F140" i="42" l="1"/>
  <c r="E61" i="46"/>
  <c r="B61" i="46"/>
  <c r="F61" i="46"/>
  <c r="G61" i="46" s="1"/>
  <c r="B60" i="46"/>
  <c r="H60" i="46"/>
  <c r="G60" i="46"/>
  <c r="E140" i="46"/>
  <c r="F140" i="46" s="1"/>
  <c r="B140" i="46"/>
  <c r="H139" i="46"/>
  <c r="I139" i="46"/>
  <c r="H139" i="42"/>
  <c r="I139" i="42"/>
  <c r="I70" i="9"/>
  <c r="I58" i="42"/>
  <c r="I60" i="39"/>
  <c r="J142" i="31"/>
  <c r="J140" i="30"/>
  <c r="J142" i="27"/>
  <c r="J147" i="8"/>
  <c r="J149" i="7"/>
  <c r="I68" i="3"/>
  <c r="I65" i="23"/>
  <c r="I59" i="41"/>
  <c r="I66" i="25"/>
  <c r="B59" i="44"/>
  <c r="E71" i="9"/>
  <c r="F71" i="9" s="1"/>
  <c r="B71" i="9"/>
  <c r="E64" i="27"/>
  <c r="F64" i="27" s="1"/>
  <c r="B64" i="27"/>
  <c r="I58" i="44"/>
  <c r="I68" i="4"/>
  <c r="G69" i="6"/>
  <c r="I69" i="6" s="1"/>
  <c r="D70" i="6"/>
  <c r="E59" i="44"/>
  <c r="F59" i="44" s="1"/>
  <c r="I63" i="27"/>
  <c r="D147" i="22"/>
  <c r="E147" i="22" s="1"/>
  <c r="G146" i="22"/>
  <c r="G145" i="23"/>
  <c r="D146" i="23"/>
  <c r="B146" i="23" s="1"/>
  <c r="G150" i="10"/>
  <c r="D151" i="10"/>
  <c r="E151" i="10" s="1"/>
  <c r="G150" i="7"/>
  <c r="D151" i="7"/>
  <c r="E151" i="7" s="1"/>
  <c r="B149" i="8"/>
  <c r="E149" i="8"/>
  <c r="F149" i="8" s="1"/>
  <c r="G149" i="9"/>
  <c r="D150" i="9"/>
  <c r="G149" i="11"/>
  <c r="D150" i="11"/>
  <c r="G139" i="40"/>
  <c r="D140" i="40"/>
  <c r="E140" i="40"/>
  <c r="H148" i="8"/>
  <c r="I148" i="8"/>
  <c r="J149" i="10"/>
  <c r="G139" i="37"/>
  <c r="D140" i="37"/>
  <c r="E140" i="37"/>
  <c r="D147" i="25"/>
  <c r="B147" i="25" s="1"/>
  <c r="G146" i="25"/>
  <c r="J141" i="28"/>
  <c r="D148" i="5"/>
  <c r="G147" i="5"/>
  <c r="D148" i="3"/>
  <c r="B148" i="3" s="1"/>
  <c r="G147" i="3"/>
  <c r="E148" i="3"/>
  <c r="F148" i="3" s="1"/>
  <c r="E144" i="27"/>
  <c r="D144" i="27"/>
  <c r="G143" i="27"/>
  <c r="B140" i="38"/>
  <c r="F140" i="38"/>
  <c r="G147" i="4"/>
  <c r="D148" i="4"/>
  <c r="B148" i="4" s="1"/>
  <c r="E148" i="4"/>
  <c r="F148" i="4" s="1"/>
  <c r="E142" i="30"/>
  <c r="G141" i="30"/>
  <c r="D142" i="30"/>
  <c r="D143" i="28"/>
  <c r="E143" i="28" s="1"/>
  <c r="G142" i="28"/>
  <c r="I139" i="38"/>
  <c r="H139" i="38"/>
  <c r="D145" i="24"/>
  <c r="E145" i="24" s="1"/>
  <c r="G144" i="24"/>
  <c r="D149" i="6"/>
  <c r="B149" i="6" s="1"/>
  <c r="G148" i="6"/>
  <c r="F144" i="29"/>
  <c r="B144" i="29"/>
  <c r="H143" i="29"/>
  <c r="I143" i="29"/>
  <c r="G141" i="13"/>
  <c r="D142" i="13"/>
  <c r="B71" i="10"/>
  <c r="B69" i="3"/>
  <c r="D63" i="31"/>
  <c r="E63" i="31" s="1"/>
  <c r="B60" i="43"/>
  <c r="F60" i="43"/>
  <c r="H60" i="43" s="1"/>
  <c r="G143" i="31"/>
  <c r="E144" i="31"/>
  <c r="D144" i="31"/>
  <c r="B61" i="39"/>
  <c r="F61" i="39"/>
  <c r="F67" i="22"/>
  <c r="H67" i="22" s="1"/>
  <c r="B67" i="22"/>
  <c r="H62" i="31"/>
  <c r="B63" i="28"/>
  <c r="F63" i="28"/>
  <c r="B140" i="39"/>
  <c r="F140" i="39"/>
  <c r="F61" i="13"/>
  <c r="H61" i="13" s="1"/>
  <c r="B61" i="13"/>
  <c r="G62" i="31"/>
  <c r="B62" i="30"/>
  <c r="F62" i="30"/>
  <c r="H62" i="30" s="1"/>
  <c r="F66" i="23"/>
  <c r="H66" i="23" s="1"/>
  <c r="B66" i="23"/>
  <c r="G139" i="45"/>
  <c r="D140" i="45"/>
  <c r="E140" i="45" s="1"/>
  <c r="B69" i="4"/>
  <c r="B72" i="7"/>
  <c r="F72" i="7"/>
  <c r="H72" i="7" s="1"/>
  <c r="B59" i="45"/>
  <c r="F59" i="45"/>
  <c r="G59" i="45" s="1"/>
  <c r="G64" i="29"/>
  <c r="I64" i="29" s="1"/>
  <c r="B69" i="5"/>
  <c r="F69" i="8"/>
  <c r="H69" i="8" s="1"/>
  <c r="B69" i="8"/>
  <c r="E69" i="4"/>
  <c r="F69" i="4" s="1"/>
  <c r="I70" i="11"/>
  <c r="I59" i="40"/>
  <c r="F60" i="38"/>
  <c r="G60" i="38" s="1"/>
  <c r="B60" i="38"/>
  <c r="E69" i="5"/>
  <c r="F69" i="5" s="1"/>
  <c r="B65" i="24"/>
  <c r="F65" i="24"/>
  <c r="H65" i="24" s="1"/>
  <c r="D140" i="43"/>
  <c r="G139" i="43"/>
  <c r="E140" i="43"/>
  <c r="B60" i="41"/>
  <c r="F60" i="41"/>
  <c r="H60" i="41" s="1"/>
  <c r="F59" i="42"/>
  <c r="G59" i="42" s="1"/>
  <c r="B59" i="42"/>
  <c r="I66" i="22"/>
  <c r="B60" i="40"/>
  <c r="F60" i="40"/>
  <c r="H60" i="40" s="1"/>
  <c r="I139" i="39"/>
  <c r="H139" i="39"/>
  <c r="F60" i="37"/>
  <c r="H60" i="37" s="1"/>
  <c r="B60" i="37"/>
  <c r="I59" i="43"/>
  <c r="D141" i="44"/>
  <c r="G140" i="44"/>
  <c r="D65" i="29"/>
  <c r="D140" i="41"/>
  <c r="G139" i="41"/>
  <c r="E140" i="41"/>
  <c r="E71" i="10"/>
  <c r="F71" i="10" s="1"/>
  <c r="I62" i="28"/>
  <c r="E69" i="3"/>
  <c r="F69" i="3" s="1"/>
  <c r="F71" i="11"/>
  <c r="G71" i="11" s="1"/>
  <c r="B71" i="11"/>
  <c r="F67" i="25"/>
  <c r="B67" i="25"/>
  <c r="H61" i="46" l="1"/>
  <c r="D62" i="46"/>
  <c r="E62" i="46" s="1"/>
  <c r="I61" i="46"/>
  <c r="D141" i="42"/>
  <c r="G140" i="42"/>
  <c r="I60" i="46"/>
  <c r="D141" i="46"/>
  <c r="G140" i="46"/>
  <c r="J143" i="29"/>
  <c r="F62" i="46"/>
  <c r="G62" i="46" s="1"/>
  <c r="B62" i="46"/>
  <c r="H62" i="46"/>
  <c r="H59" i="42"/>
  <c r="I59" i="42" s="1"/>
  <c r="H71" i="11"/>
  <c r="I71" i="11" s="1"/>
  <c r="J148" i="8"/>
  <c r="G62" i="30"/>
  <c r="I62" i="30" s="1"/>
  <c r="G60" i="40"/>
  <c r="I60" i="40" s="1"/>
  <c r="H60" i="38"/>
  <c r="I60" i="38" s="1"/>
  <c r="G59" i="44"/>
  <c r="D60" i="44"/>
  <c r="E60" i="44" s="1"/>
  <c r="H59" i="44"/>
  <c r="D65" i="27"/>
  <c r="G64" i="27"/>
  <c r="G69" i="8"/>
  <c r="I69" i="8" s="1"/>
  <c r="G71" i="9"/>
  <c r="D72" i="9"/>
  <c r="H71" i="9"/>
  <c r="G65" i="24"/>
  <c r="I65" i="24" s="1"/>
  <c r="G66" i="23"/>
  <c r="I66" i="23" s="1"/>
  <c r="E70" i="6"/>
  <c r="F70" i="6" s="1"/>
  <c r="B70" i="6"/>
  <c r="H64" i="27"/>
  <c r="F143" i="28"/>
  <c r="B143" i="28"/>
  <c r="D149" i="4"/>
  <c r="G148" i="4"/>
  <c r="D149" i="3"/>
  <c r="G148" i="3"/>
  <c r="E148" i="5"/>
  <c r="F148" i="5" s="1"/>
  <c r="B148" i="5"/>
  <c r="F140" i="40"/>
  <c r="B140" i="40"/>
  <c r="E150" i="9"/>
  <c r="F150" i="9" s="1"/>
  <c r="B150" i="9"/>
  <c r="B151" i="10"/>
  <c r="F151" i="10"/>
  <c r="I145" i="23"/>
  <c r="H145" i="23"/>
  <c r="H144" i="24"/>
  <c r="I144" i="24"/>
  <c r="B142" i="30"/>
  <c r="F142" i="30"/>
  <c r="I143" i="27"/>
  <c r="H143" i="27"/>
  <c r="I147" i="3"/>
  <c r="H147" i="3"/>
  <c r="I139" i="40"/>
  <c r="H139" i="40"/>
  <c r="I149" i="9"/>
  <c r="H149" i="9"/>
  <c r="F151" i="7"/>
  <c r="B151" i="7"/>
  <c r="I150" i="10"/>
  <c r="H150" i="10"/>
  <c r="E149" i="6"/>
  <c r="F149" i="6" s="1"/>
  <c r="I141" i="30"/>
  <c r="H141" i="30"/>
  <c r="H147" i="4"/>
  <c r="I147" i="4"/>
  <c r="B144" i="27"/>
  <c r="F144" i="27"/>
  <c r="E147" i="25"/>
  <c r="F147" i="25" s="1"/>
  <c r="F140" i="37"/>
  <c r="B140" i="37"/>
  <c r="E150" i="11"/>
  <c r="F150" i="11" s="1"/>
  <c r="B150" i="11"/>
  <c r="G149" i="8"/>
  <c r="D150" i="8"/>
  <c r="H150" i="7"/>
  <c r="I150" i="7"/>
  <c r="J150" i="7" s="1"/>
  <c r="E146" i="23"/>
  <c r="F146" i="23" s="1"/>
  <c r="H146" i="22"/>
  <c r="I146" i="22"/>
  <c r="I148" i="6"/>
  <c r="H148" i="6"/>
  <c r="B145" i="24"/>
  <c r="F145" i="24"/>
  <c r="H142" i="28"/>
  <c r="I142" i="28"/>
  <c r="D141" i="38"/>
  <c r="E141" i="38"/>
  <c r="G140" i="38"/>
  <c r="H147" i="5"/>
  <c r="I147" i="5"/>
  <c r="H146" i="25"/>
  <c r="I146" i="25"/>
  <c r="I139" i="37"/>
  <c r="H139" i="37"/>
  <c r="I149" i="11"/>
  <c r="H149" i="11"/>
  <c r="F147" i="22"/>
  <c r="B147" i="22"/>
  <c r="E145" i="29"/>
  <c r="G144" i="29"/>
  <c r="D145" i="29"/>
  <c r="H73" i="7"/>
  <c r="D70" i="3"/>
  <c r="E70" i="3" s="1"/>
  <c r="G69" i="3"/>
  <c r="H69" i="3"/>
  <c r="D72" i="10"/>
  <c r="E72" i="10" s="1"/>
  <c r="E73" i="10" s="1"/>
  <c r="G71" i="10"/>
  <c r="H71" i="10"/>
  <c r="D70" i="5"/>
  <c r="E70" i="5" s="1"/>
  <c r="G69" i="5"/>
  <c r="H69" i="5"/>
  <c r="D70" i="4"/>
  <c r="E70" i="4" s="1"/>
  <c r="H69" i="4"/>
  <c r="G69" i="4"/>
  <c r="G72" i="7"/>
  <c r="G73" i="7" s="1"/>
  <c r="G67" i="22"/>
  <c r="I67" i="22" s="1"/>
  <c r="I139" i="43"/>
  <c r="H139" i="43"/>
  <c r="D64" i="28"/>
  <c r="E64" i="28" s="1"/>
  <c r="F144" i="31"/>
  <c r="B144" i="31"/>
  <c r="D61" i="43"/>
  <c r="E61" i="43" s="1"/>
  <c r="D68" i="25"/>
  <c r="E68" i="25" s="1"/>
  <c r="F140" i="43"/>
  <c r="B140" i="43"/>
  <c r="D70" i="8"/>
  <c r="D62" i="13"/>
  <c r="E62" i="13" s="1"/>
  <c r="G60" i="43"/>
  <c r="I60" i="43" s="1"/>
  <c r="B65" i="29"/>
  <c r="D60" i="42"/>
  <c r="D141" i="39"/>
  <c r="G140" i="39"/>
  <c r="E141" i="39"/>
  <c r="G63" i="28"/>
  <c r="D68" i="22"/>
  <c r="E68" i="22" s="1"/>
  <c r="I143" i="31"/>
  <c r="H143" i="31"/>
  <c r="B142" i="13"/>
  <c r="D61" i="37"/>
  <c r="E61" i="37" s="1"/>
  <c r="B141" i="44"/>
  <c r="D72" i="11"/>
  <c r="E141" i="44"/>
  <c r="F141" i="44" s="1"/>
  <c r="D66" i="24"/>
  <c r="E66" i="24" s="1"/>
  <c r="D61" i="38"/>
  <c r="E61" i="38" s="1"/>
  <c r="D60" i="45"/>
  <c r="E60" i="45" s="1"/>
  <c r="F140" i="45"/>
  <c r="B140" i="45"/>
  <c r="H63" i="28"/>
  <c r="D62" i="39"/>
  <c r="E62" i="39" s="1"/>
  <c r="E142" i="13"/>
  <c r="F142" i="13" s="1"/>
  <c r="D61" i="40"/>
  <c r="E61" i="40" s="1"/>
  <c r="D61" i="41"/>
  <c r="E61" i="41" s="1"/>
  <c r="H139" i="45"/>
  <c r="I139" i="45"/>
  <c r="D67" i="23"/>
  <c r="E67" i="23" s="1"/>
  <c r="I62" i="31"/>
  <c r="H61" i="39"/>
  <c r="I141" i="13"/>
  <c r="H141" i="13"/>
  <c r="E65" i="29"/>
  <c r="F65" i="29" s="1"/>
  <c r="H140" i="44"/>
  <c r="I140" i="44"/>
  <c r="I139" i="41"/>
  <c r="H139" i="41"/>
  <c r="G60" i="41"/>
  <c r="I60" i="41" s="1"/>
  <c r="H59" i="45"/>
  <c r="I59" i="45" s="1"/>
  <c r="D63" i="30"/>
  <c r="E63" i="30" s="1"/>
  <c r="G61" i="39"/>
  <c r="G67" i="25"/>
  <c r="H67" i="25"/>
  <c r="F140" i="41"/>
  <c r="B140" i="41"/>
  <c r="G60" i="37"/>
  <c r="I60" i="37" s="1"/>
  <c r="G61" i="13"/>
  <c r="I61" i="13" s="1"/>
  <c r="F63" i="31"/>
  <c r="H63" i="31" s="1"/>
  <c r="B63" i="31"/>
  <c r="I140" i="42" l="1"/>
  <c r="H140" i="42"/>
  <c r="E141" i="42"/>
  <c r="F141" i="42"/>
  <c r="B141" i="42"/>
  <c r="H140" i="46"/>
  <c r="I140" i="46"/>
  <c r="E141" i="46"/>
  <c r="F141" i="46" s="1"/>
  <c r="B141" i="46"/>
  <c r="I62" i="46"/>
  <c r="D63" i="46"/>
  <c r="E63" i="46" s="1"/>
  <c r="I63" i="28"/>
  <c r="J143" i="27"/>
  <c r="J150" i="10"/>
  <c r="J148" i="6"/>
  <c r="J147" i="5"/>
  <c r="J147" i="4"/>
  <c r="J147" i="3"/>
  <c r="G63" i="31"/>
  <c r="I63" i="31" s="1"/>
  <c r="G70" i="6"/>
  <c r="D71" i="6"/>
  <c r="H70" i="6"/>
  <c r="B65" i="27"/>
  <c r="I61" i="39"/>
  <c r="I71" i="9"/>
  <c r="E65" i="27"/>
  <c r="F65" i="27" s="1"/>
  <c r="F60" i="44"/>
  <c r="B60" i="44"/>
  <c r="B72" i="9"/>
  <c r="I71" i="10"/>
  <c r="I69" i="3"/>
  <c r="E72" i="9"/>
  <c r="E73" i="9" s="1"/>
  <c r="I64" i="27"/>
  <c r="I59" i="44"/>
  <c r="D151" i="11"/>
  <c r="B151" i="11" s="1"/>
  <c r="G150" i="11"/>
  <c r="D148" i="22"/>
  <c r="G147" i="22"/>
  <c r="J142" i="28"/>
  <c r="G146" i="23"/>
  <c r="D147" i="23"/>
  <c r="H149" i="8"/>
  <c r="I149" i="8"/>
  <c r="J141" i="30"/>
  <c r="G151" i="10"/>
  <c r="D152" i="10"/>
  <c r="E152" i="10" s="1"/>
  <c r="H148" i="4"/>
  <c r="I148" i="4"/>
  <c r="J148" i="4" s="1"/>
  <c r="H140" i="38"/>
  <c r="I140" i="38"/>
  <c r="E141" i="37"/>
  <c r="D141" i="37"/>
  <c r="G140" i="37"/>
  <c r="D150" i="6"/>
  <c r="B150" i="6" s="1"/>
  <c r="G149" i="6"/>
  <c r="D152" i="7"/>
  <c r="G151" i="7"/>
  <c r="E149" i="4"/>
  <c r="F149" i="4" s="1"/>
  <c r="B149" i="4"/>
  <c r="D146" i="24"/>
  <c r="G145" i="24"/>
  <c r="G147" i="25"/>
  <c r="D148" i="25"/>
  <c r="G142" i="30"/>
  <c r="E143" i="30"/>
  <c r="D143" i="30"/>
  <c r="G150" i="9"/>
  <c r="D151" i="9"/>
  <c r="D141" i="40"/>
  <c r="G140" i="40"/>
  <c r="E141" i="40"/>
  <c r="I148" i="3"/>
  <c r="H148" i="3"/>
  <c r="F141" i="38"/>
  <c r="B141" i="38"/>
  <c r="E150" i="8"/>
  <c r="F150" i="8" s="1"/>
  <c r="B150" i="8"/>
  <c r="G144" i="27"/>
  <c r="D145" i="27"/>
  <c r="B145" i="27" s="1"/>
  <c r="G148" i="5"/>
  <c r="D149" i="5"/>
  <c r="E149" i="3"/>
  <c r="F149" i="3" s="1"/>
  <c r="B149" i="3"/>
  <c r="E144" i="28"/>
  <c r="G143" i="28"/>
  <c r="D144" i="28"/>
  <c r="J143" i="31"/>
  <c r="B145" i="29"/>
  <c r="F145" i="29"/>
  <c r="H144" i="29"/>
  <c r="I144" i="29"/>
  <c r="D66" i="29"/>
  <c r="E66" i="29" s="1"/>
  <c r="G65" i="29"/>
  <c r="H65" i="29"/>
  <c r="G141" i="44"/>
  <c r="D142" i="44"/>
  <c r="E142" i="44" s="1"/>
  <c r="G142" i="13"/>
  <c r="D143" i="13"/>
  <c r="B70" i="8"/>
  <c r="F61" i="37"/>
  <c r="G61" i="37" s="1"/>
  <c r="B61" i="37"/>
  <c r="B68" i="22"/>
  <c r="F68" i="22"/>
  <c r="B60" i="42"/>
  <c r="B62" i="13"/>
  <c r="F62" i="13"/>
  <c r="H62" i="13" s="1"/>
  <c r="E60" i="42"/>
  <c r="F60" i="42" s="1"/>
  <c r="G140" i="43"/>
  <c r="D141" i="43"/>
  <c r="E141" i="43"/>
  <c r="I69" i="4"/>
  <c r="D64" i="31"/>
  <c r="E64" i="31" s="1"/>
  <c r="D141" i="41"/>
  <c r="G140" i="41"/>
  <c r="E141" i="41"/>
  <c r="D141" i="45"/>
  <c r="E141" i="45" s="1"/>
  <c r="G140" i="45"/>
  <c r="F61" i="43"/>
  <c r="H61" i="43" s="1"/>
  <c r="B61" i="43"/>
  <c r="I67" i="25"/>
  <c r="B72" i="11"/>
  <c r="I140" i="39"/>
  <c r="H140" i="39"/>
  <c r="B70" i="4"/>
  <c r="F70" i="4"/>
  <c r="H70" i="4" s="1"/>
  <c r="B72" i="10"/>
  <c r="F72" i="10"/>
  <c r="G72" i="10" s="1"/>
  <c r="G73" i="10" s="1"/>
  <c r="B61" i="41"/>
  <c r="F61" i="41"/>
  <c r="G61" i="41" s="1"/>
  <c r="F61" i="38"/>
  <c r="G61" i="38" s="1"/>
  <c r="B61" i="38"/>
  <c r="E72" i="11"/>
  <c r="E73" i="11" s="1"/>
  <c r="B141" i="39"/>
  <c r="F141" i="39"/>
  <c r="E145" i="31"/>
  <c r="G144" i="31"/>
  <c r="D145" i="31"/>
  <c r="F70" i="3"/>
  <c r="H70" i="3" s="1"/>
  <c r="B70" i="3"/>
  <c r="B63" i="30"/>
  <c r="F63" i="30"/>
  <c r="H63" i="30" s="1"/>
  <c r="F62" i="39"/>
  <c r="H62" i="39" s="1"/>
  <c r="B62" i="39"/>
  <c r="B66" i="24"/>
  <c r="F66" i="24"/>
  <c r="H66" i="24" s="1"/>
  <c r="F64" i="28"/>
  <c r="G64" i="28" s="1"/>
  <c r="B64" i="28"/>
  <c r="F67" i="23"/>
  <c r="G67" i="23" s="1"/>
  <c r="B67" i="23"/>
  <c r="B61" i="40"/>
  <c r="F61" i="40"/>
  <c r="H61" i="40" s="1"/>
  <c r="F60" i="45"/>
  <c r="G60" i="45" s="1"/>
  <c r="B60" i="45"/>
  <c r="E70" i="8"/>
  <c r="F70" i="8" s="1"/>
  <c r="B68" i="25"/>
  <c r="F68" i="25"/>
  <c r="G68" i="25" s="1"/>
  <c r="F70" i="5"/>
  <c r="G70" i="5" s="1"/>
  <c r="B70" i="5"/>
  <c r="I72" i="7"/>
  <c r="I73" i="7" s="1"/>
  <c r="D142" i="42" l="1"/>
  <c r="G141" i="42"/>
  <c r="G141" i="46"/>
  <c r="D142" i="46"/>
  <c r="F63" i="46"/>
  <c r="H63" i="46" s="1"/>
  <c r="B63" i="46"/>
  <c r="H61" i="37"/>
  <c r="G63" i="30"/>
  <c r="I63" i="30" s="1"/>
  <c r="I65" i="29"/>
  <c r="E151" i="11"/>
  <c r="F151" i="11" s="1"/>
  <c r="F72" i="9"/>
  <c r="G72" i="9" s="1"/>
  <c r="G73" i="9" s="1"/>
  <c r="E150" i="6"/>
  <c r="F150" i="6" s="1"/>
  <c r="J148" i="3"/>
  <c r="H64" i="28"/>
  <c r="I64" i="28" s="1"/>
  <c r="I61" i="37"/>
  <c r="H67" i="23"/>
  <c r="I67" i="23" s="1"/>
  <c r="H61" i="38"/>
  <c r="I61" i="38" s="1"/>
  <c r="G61" i="43"/>
  <c r="I61" i="43" s="1"/>
  <c r="H65" i="27"/>
  <c r="D66" i="27"/>
  <c r="B66" i="27" s="1"/>
  <c r="G65" i="27"/>
  <c r="D61" i="44"/>
  <c r="B71" i="6"/>
  <c r="H60" i="45"/>
  <c r="I60" i="45" s="1"/>
  <c r="G70" i="3"/>
  <c r="I70" i="3" s="1"/>
  <c r="H72" i="10"/>
  <c r="H73" i="10" s="1"/>
  <c r="G60" i="44"/>
  <c r="I70" i="6"/>
  <c r="H68" i="25"/>
  <c r="I68" i="25" s="1"/>
  <c r="G62" i="13"/>
  <c r="I62" i="13" s="1"/>
  <c r="H60" i="44"/>
  <c r="E71" i="6"/>
  <c r="F71" i="6" s="1"/>
  <c r="D150" i="3"/>
  <c r="G149" i="3"/>
  <c r="E149" i="5"/>
  <c r="B149" i="5"/>
  <c r="F149" i="5"/>
  <c r="H144" i="27"/>
  <c r="I144" i="27"/>
  <c r="J144" i="27" s="1"/>
  <c r="D142" i="38"/>
  <c r="E142" i="38" s="1"/>
  <c r="G141" i="38"/>
  <c r="H140" i="40"/>
  <c r="I140" i="40"/>
  <c r="B143" i="30"/>
  <c r="F143" i="30"/>
  <c r="H147" i="25"/>
  <c r="I147" i="25"/>
  <c r="G149" i="4"/>
  <c r="D150" i="4"/>
  <c r="D151" i="6"/>
  <c r="E151" i="6" s="1"/>
  <c r="G150" i="6"/>
  <c r="F141" i="37"/>
  <c r="B141" i="37"/>
  <c r="H151" i="10"/>
  <c r="I151" i="10"/>
  <c r="E147" i="23"/>
  <c r="F147" i="23" s="1"/>
  <c r="B147" i="23"/>
  <c r="B148" i="22"/>
  <c r="E148" i="22"/>
  <c r="F148" i="22" s="1"/>
  <c r="I148" i="5"/>
  <c r="H148" i="5"/>
  <c r="F141" i="40"/>
  <c r="B141" i="40"/>
  <c r="I145" i="24"/>
  <c r="H145" i="24"/>
  <c r="I149" i="6"/>
  <c r="H149" i="6"/>
  <c r="H146" i="23"/>
  <c r="I146" i="23"/>
  <c r="G151" i="11"/>
  <c r="D152" i="11"/>
  <c r="B144" i="28"/>
  <c r="F144" i="28"/>
  <c r="E145" i="27"/>
  <c r="F145" i="27" s="1"/>
  <c r="G150" i="8"/>
  <c r="D151" i="8"/>
  <c r="E151" i="9"/>
  <c r="F151" i="9" s="1"/>
  <c r="B151" i="9"/>
  <c r="H142" i="30"/>
  <c r="I142" i="30"/>
  <c r="E146" i="24"/>
  <c r="F146" i="24" s="1"/>
  <c r="B146" i="24"/>
  <c r="H151" i="7"/>
  <c r="I151" i="7"/>
  <c r="J149" i="8"/>
  <c r="H150" i="11"/>
  <c r="I150" i="11"/>
  <c r="I143" i="28"/>
  <c r="H143" i="28"/>
  <c r="H150" i="9"/>
  <c r="I150" i="9"/>
  <c r="E148" i="25"/>
  <c r="F148" i="25" s="1"/>
  <c r="B148" i="25"/>
  <c r="E152" i="7"/>
  <c r="F152" i="7"/>
  <c r="B152" i="7"/>
  <c r="H140" i="37"/>
  <c r="I140" i="37"/>
  <c r="F152" i="10"/>
  <c r="B152" i="10"/>
  <c r="H147" i="22"/>
  <c r="I147" i="22"/>
  <c r="D146" i="29"/>
  <c r="G145" i="29"/>
  <c r="J144" i="29"/>
  <c r="D61" i="42"/>
  <c r="E61" i="42" s="1"/>
  <c r="H60" i="42"/>
  <c r="G60" i="42"/>
  <c r="D71" i="8"/>
  <c r="E71" i="8" s="1"/>
  <c r="G70" i="8"/>
  <c r="H70" i="8"/>
  <c r="D62" i="40"/>
  <c r="E62" i="40" s="1"/>
  <c r="G62" i="39"/>
  <c r="I62" i="39" s="1"/>
  <c r="I72" i="10"/>
  <c r="I73" i="10" s="1"/>
  <c r="F72" i="11"/>
  <c r="H140" i="41"/>
  <c r="I140" i="41"/>
  <c r="B141" i="43"/>
  <c r="F141" i="43"/>
  <c r="D69" i="22"/>
  <c r="B143" i="13"/>
  <c r="G66" i="24"/>
  <c r="I66" i="24" s="1"/>
  <c r="D62" i="41"/>
  <c r="E62" i="41" s="1"/>
  <c r="B141" i="41"/>
  <c r="F141" i="41"/>
  <c r="I140" i="43"/>
  <c r="H140" i="43"/>
  <c r="H142" i="13"/>
  <c r="I142" i="13"/>
  <c r="G61" i="40"/>
  <c r="I61" i="40" s="1"/>
  <c r="D71" i="4"/>
  <c r="E71" i="4" s="1"/>
  <c r="D63" i="13"/>
  <c r="E63" i="13" s="1"/>
  <c r="G68" i="22"/>
  <c r="E143" i="13"/>
  <c r="F143" i="13" s="1"/>
  <c r="F142" i="44"/>
  <c r="B142" i="44"/>
  <c r="D71" i="3"/>
  <c r="E71" i="3" s="1"/>
  <c r="H61" i="41"/>
  <c r="I61" i="41" s="1"/>
  <c r="G70" i="4"/>
  <c r="I70" i="4" s="1"/>
  <c r="F64" i="31"/>
  <c r="H64" i="31" s="1"/>
  <c r="B64" i="31"/>
  <c r="H68" i="22"/>
  <c r="I141" i="44"/>
  <c r="H141" i="44"/>
  <c r="D71" i="5"/>
  <c r="E71" i="5" s="1"/>
  <c r="D64" i="30"/>
  <c r="E64" i="30" s="1"/>
  <c r="F145" i="31"/>
  <c r="B145" i="31"/>
  <c r="D69" i="25"/>
  <c r="E69" i="25" s="1"/>
  <c r="D61" i="45"/>
  <c r="I144" i="31"/>
  <c r="H144" i="31"/>
  <c r="D62" i="38"/>
  <c r="E62" i="38" s="1"/>
  <c r="D62" i="43"/>
  <c r="E62" i="43" s="1"/>
  <c r="I140" i="45"/>
  <c r="H140" i="45"/>
  <c r="D67" i="24"/>
  <c r="D63" i="39"/>
  <c r="E63" i="39" s="1"/>
  <c r="H70" i="5"/>
  <c r="D68" i="23"/>
  <c r="D65" i="28"/>
  <c r="E65" i="28" s="1"/>
  <c r="F141" i="45"/>
  <c r="B141" i="45"/>
  <c r="D62" i="37"/>
  <c r="G141" i="39"/>
  <c r="D142" i="39"/>
  <c r="E142" i="39" s="1"/>
  <c r="B66" i="29"/>
  <c r="F66" i="29"/>
  <c r="G66" i="29" s="1"/>
  <c r="I141" i="42" l="1"/>
  <c r="H141" i="42"/>
  <c r="E142" i="42"/>
  <c r="F142" i="42" s="1"/>
  <c r="B142" i="42"/>
  <c r="E142" i="46"/>
  <c r="F142" i="46" s="1"/>
  <c r="B142" i="46"/>
  <c r="I141" i="46"/>
  <c r="H141" i="46"/>
  <c r="H66" i="29"/>
  <c r="I66" i="29" s="1"/>
  <c r="I68" i="22"/>
  <c r="H72" i="9"/>
  <c r="J149" i="6"/>
  <c r="J151" i="10"/>
  <c r="J151" i="7"/>
  <c r="D64" i="46"/>
  <c r="G63" i="46"/>
  <c r="I63" i="46" s="1"/>
  <c r="J143" i="28"/>
  <c r="J148" i="5"/>
  <c r="E66" i="27"/>
  <c r="F66" i="27" s="1"/>
  <c r="G66" i="27" s="1"/>
  <c r="D72" i="6"/>
  <c r="G71" i="6"/>
  <c r="H71" i="6"/>
  <c r="B61" i="44"/>
  <c r="I60" i="44"/>
  <c r="E61" i="44"/>
  <c r="F61" i="44" s="1"/>
  <c r="I65" i="27"/>
  <c r="D149" i="25"/>
  <c r="B149" i="25" s="1"/>
  <c r="G148" i="25"/>
  <c r="D147" i="24"/>
  <c r="G146" i="24"/>
  <c r="J142" i="30"/>
  <c r="G144" i="28"/>
  <c r="D145" i="28"/>
  <c r="B145" i="28" s="1"/>
  <c r="I150" i="6"/>
  <c r="H150" i="6"/>
  <c r="B151" i="8"/>
  <c r="E151" i="8"/>
  <c r="F151" i="8" s="1"/>
  <c r="D148" i="23"/>
  <c r="B148" i="23" s="1"/>
  <c r="G147" i="23"/>
  <c r="F151" i="6"/>
  <c r="B151" i="6"/>
  <c r="G151" i="9"/>
  <c r="D152" i="9"/>
  <c r="H150" i="8"/>
  <c r="I150" i="8"/>
  <c r="E152" i="11"/>
  <c r="F152" i="11" s="1"/>
  <c r="B152" i="11"/>
  <c r="G148" i="22"/>
  <c r="D149" i="22"/>
  <c r="E149" i="22" s="1"/>
  <c r="D142" i="37"/>
  <c r="E142" i="37" s="1"/>
  <c r="G141" i="37"/>
  <c r="B150" i="4"/>
  <c r="E150" i="4"/>
  <c r="F150" i="4" s="1"/>
  <c r="G143" i="30"/>
  <c r="D144" i="30"/>
  <c r="E144" i="30" s="1"/>
  <c r="H141" i="38"/>
  <c r="I141" i="38"/>
  <c r="H149" i="3"/>
  <c r="I149" i="3"/>
  <c r="D153" i="10"/>
  <c r="B153" i="10" s="1"/>
  <c r="G152" i="10"/>
  <c r="G152" i="7"/>
  <c r="D153" i="7"/>
  <c r="D146" i="27"/>
  <c r="G145" i="27"/>
  <c r="I151" i="11"/>
  <c r="H151" i="11"/>
  <c r="E142" i="40"/>
  <c r="G141" i="40"/>
  <c r="D142" i="40"/>
  <c r="H149" i="4"/>
  <c r="I149" i="4"/>
  <c r="F142" i="38"/>
  <c r="B142" i="38"/>
  <c r="G149" i="5"/>
  <c r="D150" i="5"/>
  <c r="B150" i="5" s="1"/>
  <c r="E150" i="3"/>
  <c r="F150" i="3" s="1"/>
  <c r="B150" i="3"/>
  <c r="J144" i="31"/>
  <c r="I145" i="29"/>
  <c r="H145" i="29"/>
  <c r="E146" i="29"/>
  <c r="F146" i="29" s="1"/>
  <c r="B146" i="29"/>
  <c r="D144" i="13"/>
  <c r="E144" i="13" s="1"/>
  <c r="G143" i="13"/>
  <c r="B68" i="23"/>
  <c r="B61" i="45"/>
  <c r="G141" i="41"/>
  <c r="D142" i="41"/>
  <c r="E142" i="41" s="1"/>
  <c r="B69" i="22"/>
  <c r="B62" i="38"/>
  <c r="F62" i="38"/>
  <c r="G62" i="38" s="1"/>
  <c r="G145" i="31"/>
  <c r="D146" i="31"/>
  <c r="B71" i="3"/>
  <c r="F71" i="3"/>
  <c r="G71" i="3" s="1"/>
  <c r="D142" i="43"/>
  <c r="E142" i="43" s="1"/>
  <c r="G141" i="43"/>
  <c r="F69" i="25"/>
  <c r="H69" i="25" s="1"/>
  <c r="B69" i="25"/>
  <c r="D65" i="31"/>
  <c r="E65" i="31" s="1"/>
  <c r="B71" i="4"/>
  <c r="F71" i="4"/>
  <c r="G71" i="4" s="1"/>
  <c r="F62" i="40"/>
  <c r="H62" i="40" s="1"/>
  <c r="B62" i="40"/>
  <c r="F71" i="8"/>
  <c r="G71" i="8" s="1"/>
  <c r="B71" i="8"/>
  <c r="B64" i="30"/>
  <c r="F64" i="30"/>
  <c r="G64" i="30"/>
  <c r="B62" i="37"/>
  <c r="D67" i="29"/>
  <c r="E67" i="29" s="1"/>
  <c r="G141" i="45"/>
  <c r="D142" i="45"/>
  <c r="E142" i="45" s="1"/>
  <c r="B63" i="39"/>
  <c r="F63" i="39"/>
  <c r="H63" i="39" s="1"/>
  <c r="F62" i="43"/>
  <c r="G62" i="43" s="1"/>
  <c r="B62" i="43"/>
  <c r="B63" i="13"/>
  <c r="F63" i="13"/>
  <c r="H63" i="13" s="1"/>
  <c r="I60" i="42"/>
  <c r="F142" i="39"/>
  <c r="B142" i="39"/>
  <c r="F65" i="28"/>
  <c r="B65" i="28"/>
  <c r="B67" i="24"/>
  <c r="F71" i="5"/>
  <c r="H71" i="5" s="1"/>
  <c r="B71" i="5"/>
  <c r="D143" i="44"/>
  <c r="E143" i="44" s="1"/>
  <c r="G142" i="44"/>
  <c r="H141" i="39"/>
  <c r="I141" i="39"/>
  <c r="E62" i="37"/>
  <c r="F62" i="37" s="1"/>
  <c r="E68" i="23"/>
  <c r="F68" i="23" s="1"/>
  <c r="E67" i="24"/>
  <c r="F67" i="24" s="1"/>
  <c r="H67" i="24" s="1"/>
  <c r="E61" i="45"/>
  <c r="F61" i="45" s="1"/>
  <c r="G64" i="31"/>
  <c r="I64" i="31" s="1"/>
  <c r="B62" i="41"/>
  <c r="F62" i="41"/>
  <c r="H62" i="41" s="1"/>
  <c r="E69" i="22"/>
  <c r="F69" i="22" s="1"/>
  <c r="G72" i="11"/>
  <c r="G73" i="11" s="1"/>
  <c r="H72" i="11"/>
  <c r="I70" i="8"/>
  <c r="F61" i="42"/>
  <c r="H61" i="42" s="1"/>
  <c r="B61" i="42"/>
  <c r="H71" i="4" l="1"/>
  <c r="G142" i="42"/>
  <c r="D143" i="42"/>
  <c r="G142" i="46"/>
  <c r="D143" i="46"/>
  <c r="I72" i="9"/>
  <c r="I73" i="9" s="1"/>
  <c r="H73" i="9"/>
  <c r="B64" i="46"/>
  <c r="E64" i="46"/>
  <c r="F64" i="46" s="1"/>
  <c r="G62" i="41"/>
  <c r="I62" i="41" s="1"/>
  <c r="J145" i="29"/>
  <c r="D67" i="27"/>
  <c r="H66" i="27"/>
  <c r="I66" i="27" s="1"/>
  <c r="G69" i="25"/>
  <c r="E148" i="23"/>
  <c r="F148" i="23" s="1"/>
  <c r="G148" i="23" s="1"/>
  <c r="J149" i="3"/>
  <c r="I71" i="6"/>
  <c r="G63" i="13"/>
  <c r="I63" i="13" s="1"/>
  <c r="H62" i="43"/>
  <c r="I62" i="43" s="1"/>
  <c r="G63" i="39"/>
  <c r="I63" i="39" s="1"/>
  <c r="D62" i="44"/>
  <c r="H61" i="44"/>
  <c r="G61" i="44"/>
  <c r="G62" i="40"/>
  <c r="I62" i="40" s="1"/>
  <c r="I71" i="4"/>
  <c r="B72" i="6"/>
  <c r="G71" i="5"/>
  <c r="E72" i="6"/>
  <c r="E73" i="6" s="1"/>
  <c r="G150" i="3"/>
  <c r="D151" i="3"/>
  <c r="B151" i="3" s="1"/>
  <c r="B142" i="40"/>
  <c r="F142" i="40"/>
  <c r="I152" i="7"/>
  <c r="H152" i="7"/>
  <c r="B144" i="30"/>
  <c r="F144" i="30"/>
  <c r="E152" i="9"/>
  <c r="F152" i="9" s="1"/>
  <c r="B152" i="9"/>
  <c r="E147" i="24"/>
  <c r="F147" i="24" s="1"/>
  <c r="B147" i="24"/>
  <c r="E150" i="5"/>
  <c r="F150" i="5" s="1"/>
  <c r="D143" i="38"/>
  <c r="E143" i="38" s="1"/>
  <c r="G142" i="38"/>
  <c r="I141" i="40"/>
  <c r="H141" i="40"/>
  <c r="H145" i="27"/>
  <c r="I145" i="27"/>
  <c r="J145" i="27" s="1"/>
  <c r="E153" i="10"/>
  <c r="F153" i="10" s="1"/>
  <c r="I143" i="30"/>
  <c r="H143" i="30"/>
  <c r="B149" i="22"/>
  <c r="F149" i="22"/>
  <c r="H151" i="9"/>
  <c r="I151" i="9"/>
  <c r="H147" i="23"/>
  <c r="I147" i="23"/>
  <c r="H144" i="28"/>
  <c r="I144" i="28"/>
  <c r="E149" i="25"/>
  <c r="F149" i="25" s="1"/>
  <c r="J149" i="4"/>
  <c r="E146" i="27"/>
  <c r="F146" i="27" s="1"/>
  <c r="B146" i="27"/>
  <c r="H152" i="10"/>
  <c r="I152" i="10"/>
  <c r="I141" i="37"/>
  <c r="H141" i="37"/>
  <c r="I148" i="22"/>
  <c r="H148" i="22"/>
  <c r="J150" i="8"/>
  <c r="J150" i="6"/>
  <c r="I148" i="25"/>
  <c r="H148" i="25"/>
  <c r="H149" i="5"/>
  <c r="I149" i="5"/>
  <c r="J149" i="5" s="1"/>
  <c r="E153" i="7"/>
  <c r="F153" i="7" s="1"/>
  <c r="B153" i="7"/>
  <c r="G150" i="4"/>
  <c r="D151" i="4"/>
  <c r="B142" i="37"/>
  <c r="F142" i="37"/>
  <c r="G152" i="11"/>
  <c r="D153" i="11"/>
  <c r="E153" i="11" s="1"/>
  <c r="G151" i="6"/>
  <c r="D152" i="6"/>
  <c r="B152" i="6" s="1"/>
  <c r="D152" i="8"/>
  <c r="G151" i="8"/>
  <c r="E145" i="28"/>
  <c r="F145" i="28" s="1"/>
  <c r="I146" i="24"/>
  <c r="H146" i="24"/>
  <c r="G146" i="29"/>
  <c r="D147" i="29"/>
  <c r="D69" i="23"/>
  <c r="E69" i="23" s="1"/>
  <c r="H68" i="23"/>
  <c r="G68" i="23"/>
  <c r="D63" i="37"/>
  <c r="G62" i="37"/>
  <c r="H62" i="37"/>
  <c r="D70" i="22"/>
  <c r="E70" i="22" s="1"/>
  <c r="G69" i="22"/>
  <c r="H69" i="22"/>
  <c r="D62" i="45"/>
  <c r="E62" i="45" s="1"/>
  <c r="H61" i="45"/>
  <c r="G61" i="45"/>
  <c r="D66" i="28"/>
  <c r="E66" i="28" s="1"/>
  <c r="F142" i="41"/>
  <c r="B142" i="41"/>
  <c r="D65" i="30"/>
  <c r="E65" i="30" s="1"/>
  <c r="I69" i="25"/>
  <c r="I141" i="41"/>
  <c r="H141" i="41"/>
  <c r="D68" i="24"/>
  <c r="B67" i="29"/>
  <c r="F67" i="29"/>
  <c r="H67" i="29" s="1"/>
  <c r="H64" i="30"/>
  <c r="I64" i="30" s="1"/>
  <c r="B146" i="31"/>
  <c r="I142" i="44"/>
  <c r="H142" i="44"/>
  <c r="G67" i="24"/>
  <c r="I67" i="24" s="1"/>
  <c r="D63" i="40"/>
  <c r="E63" i="40" s="1"/>
  <c r="D70" i="25"/>
  <c r="E70" i="25" s="1"/>
  <c r="H141" i="43"/>
  <c r="I141" i="43"/>
  <c r="H145" i="31"/>
  <c r="I145" i="31"/>
  <c r="H143" i="13"/>
  <c r="I143" i="13"/>
  <c r="D143" i="39"/>
  <c r="E143" i="39" s="1"/>
  <c r="G142" i="39"/>
  <c r="B142" i="45"/>
  <c r="F142" i="45"/>
  <c r="H71" i="8"/>
  <c r="I71" i="8" s="1"/>
  <c r="F142" i="43"/>
  <c r="B142" i="43"/>
  <c r="E146" i="31"/>
  <c r="F146" i="31" s="1"/>
  <c r="G61" i="42"/>
  <c r="I61" i="42" s="1"/>
  <c r="D63" i="41"/>
  <c r="E63" i="41" s="1"/>
  <c r="H65" i="28"/>
  <c r="H141" i="45"/>
  <c r="I141" i="45"/>
  <c r="H71" i="3"/>
  <c r="I71" i="3" s="1"/>
  <c r="H62" i="38"/>
  <c r="I62" i="38" s="1"/>
  <c r="B144" i="13"/>
  <c r="F144" i="13"/>
  <c r="B143" i="44"/>
  <c r="F143" i="44"/>
  <c r="D62" i="42"/>
  <c r="E62" i="42" s="1"/>
  <c r="D63" i="43"/>
  <c r="E63" i="43" s="1"/>
  <c r="I72" i="11"/>
  <c r="I73" i="11" s="1"/>
  <c r="H73" i="11"/>
  <c r="D72" i="5"/>
  <c r="E72" i="5" s="1"/>
  <c r="E73" i="5" s="1"/>
  <c r="G65" i="28"/>
  <c r="D64" i="13"/>
  <c r="E64" i="13" s="1"/>
  <c r="D64" i="39"/>
  <c r="D72" i="8"/>
  <c r="E72" i="8" s="1"/>
  <c r="E73" i="8" s="1"/>
  <c r="D72" i="4"/>
  <c r="E72" i="4" s="1"/>
  <c r="E73" i="4" s="1"/>
  <c r="B65" i="31"/>
  <c r="F65" i="31"/>
  <c r="H65" i="31" s="1"/>
  <c r="D72" i="3"/>
  <c r="D63" i="38"/>
  <c r="E143" i="42" l="1"/>
  <c r="B143" i="42"/>
  <c r="F143" i="42"/>
  <c r="H142" i="42"/>
  <c r="I142" i="42"/>
  <c r="E143" i="46"/>
  <c r="F143" i="46" s="1"/>
  <c r="B143" i="46"/>
  <c r="H142" i="46"/>
  <c r="I142" i="46"/>
  <c r="D149" i="23"/>
  <c r="E149" i="23" s="1"/>
  <c r="D65" i="46"/>
  <c r="E65" i="46" s="1"/>
  <c r="H64" i="46"/>
  <c r="G64" i="46"/>
  <c r="J143" i="30"/>
  <c r="E67" i="27"/>
  <c r="F67" i="27" s="1"/>
  <c r="B67" i="27"/>
  <c r="J152" i="7"/>
  <c r="I61" i="45"/>
  <c r="I61" i="44"/>
  <c r="I68" i="23"/>
  <c r="F72" i="6"/>
  <c r="B62" i="44"/>
  <c r="I65" i="28"/>
  <c r="I69" i="22"/>
  <c r="E62" i="44"/>
  <c r="F62" i="44" s="1"/>
  <c r="D147" i="27"/>
  <c r="G146" i="27"/>
  <c r="D154" i="7"/>
  <c r="G153" i="7"/>
  <c r="G147" i="24"/>
  <c r="D148" i="24"/>
  <c r="G152" i="9"/>
  <c r="D153" i="9"/>
  <c r="B152" i="8"/>
  <c r="J152" i="10"/>
  <c r="D146" i="28"/>
  <c r="B146" i="28" s="1"/>
  <c r="G145" i="28"/>
  <c r="E146" i="28"/>
  <c r="F146" i="28" s="1"/>
  <c r="E152" i="6"/>
  <c r="F152" i="6" s="1"/>
  <c r="B153" i="11"/>
  <c r="F153" i="11"/>
  <c r="E151" i="4"/>
  <c r="F151" i="4" s="1"/>
  <c r="B151" i="4"/>
  <c r="D150" i="22"/>
  <c r="B150" i="22" s="1"/>
  <c r="G149" i="22"/>
  <c r="G153" i="10"/>
  <c r="D154" i="10"/>
  <c r="G150" i="5"/>
  <c r="D151" i="5"/>
  <c r="E151" i="3"/>
  <c r="F151" i="3" s="1"/>
  <c r="I151" i="8"/>
  <c r="H151" i="8"/>
  <c r="I152" i="11"/>
  <c r="H152" i="11"/>
  <c r="I150" i="4"/>
  <c r="H150" i="4"/>
  <c r="G149" i="25"/>
  <c r="D150" i="25"/>
  <c r="H142" i="38"/>
  <c r="I142" i="38"/>
  <c r="B149" i="23"/>
  <c r="F149" i="23"/>
  <c r="E152" i="8"/>
  <c r="F152" i="8" s="1"/>
  <c r="H151" i="6"/>
  <c r="I151" i="6"/>
  <c r="G142" i="37"/>
  <c r="D143" i="37"/>
  <c r="E143" i="37" s="1"/>
  <c r="J144" i="28"/>
  <c r="B143" i="38"/>
  <c r="F143" i="38"/>
  <c r="H148" i="23"/>
  <c r="I148" i="23"/>
  <c r="G144" i="30"/>
  <c r="D145" i="30"/>
  <c r="E145" i="30" s="1"/>
  <c r="G142" i="40"/>
  <c r="D143" i="40"/>
  <c r="E143" i="40" s="1"/>
  <c r="I150" i="3"/>
  <c r="H150" i="3"/>
  <c r="E147" i="29"/>
  <c r="F147" i="29" s="1"/>
  <c r="B147" i="29"/>
  <c r="I146" i="29"/>
  <c r="H146" i="29"/>
  <c r="G146" i="31"/>
  <c r="D147" i="31"/>
  <c r="E147" i="31" s="1"/>
  <c r="F63" i="43"/>
  <c r="G63" i="43" s="1"/>
  <c r="B63" i="43"/>
  <c r="F62" i="42"/>
  <c r="G62" i="42" s="1"/>
  <c r="B62" i="42"/>
  <c r="B68" i="24"/>
  <c r="I62" i="37"/>
  <c r="B72" i="4"/>
  <c r="F72" i="4"/>
  <c r="H72" i="4" s="1"/>
  <c r="B64" i="39"/>
  <c r="G143" i="44"/>
  <c r="D144" i="44"/>
  <c r="E144" i="44" s="1"/>
  <c r="B143" i="39"/>
  <c r="F143" i="39"/>
  <c r="E68" i="24"/>
  <c r="F68" i="24" s="1"/>
  <c r="F65" i="30"/>
  <c r="H65" i="30" s="1"/>
  <c r="B65" i="30"/>
  <c r="G142" i="41"/>
  <c r="D143" i="41"/>
  <c r="E143" i="41" s="1"/>
  <c r="E64" i="39"/>
  <c r="F64" i="39" s="1"/>
  <c r="J145" i="31"/>
  <c r="B63" i="37"/>
  <c r="B72" i="3"/>
  <c r="B63" i="41"/>
  <c r="F63" i="41"/>
  <c r="G63" i="41" s="1"/>
  <c r="B63" i="40"/>
  <c r="F63" i="40"/>
  <c r="H63" i="40" s="1"/>
  <c r="F62" i="45"/>
  <c r="G62" i="45" s="1"/>
  <c r="B62" i="45"/>
  <c r="E63" i="37"/>
  <c r="F63" i="37" s="1"/>
  <c r="F69" i="23"/>
  <c r="G69" i="23" s="1"/>
  <c r="B69" i="23"/>
  <c r="F64" i="13"/>
  <c r="H64" i="13" s="1"/>
  <c r="B64" i="13"/>
  <c r="G142" i="45"/>
  <c r="D143" i="45"/>
  <c r="E143" i="45" s="1"/>
  <c r="D68" i="29"/>
  <c r="E68" i="29" s="1"/>
  <c r="B72" i="8"/>
  <c r="F72" i="8"/>
  <c r="H72" i="8" s="1"/>
  <c r="D145" i="13"/>
  <c r="G144" i="13"/>
  <c r="G142" i="43"/>
  <c r="D143" i="43"/>
  <c r="E143" i="43" s="1"/>
  <c r="B63" i="38"/>
  <c r="D66" i="31"/>
  <c r="E66" i="31" s="1"/>
  <c r="E63" i="38"/>
  <c r="F63" i="38" s="1"/>
  <c r="E72" i="3"/>
  <c r="E73" i="3" s="1"/>
  <c r="G65" i="31"/>
  <c r="I65" i="31" s="1"/>
  <c r="B72" i="5"/>
  <c r="F72" i="5"/>
  <c r="G72" i="5" s="1"/>
  <c r="G73" i="5" s="1"/>
  <c r="G67" i="29"/>
  <c r="I67" i="29" s="1"/>
  <c r="I142" i="39"/>
  <c r="H142" i="39"/>
  <c r="B70" i="25"/>
  <c r="F70" i="25"/>
  <c r="H70" i="25" s="1"/>
  <c r="F66" i="28"/>
  <c r="G66" i="28" s="1"/>
  <c r="B66" i="28"/>
  <c r="B70" i="22"/>
  <c r="F70" i="22"/>
  <c r="G143" i="42" l="1"/>
  <c r="D144" i="42"/>
  <c r="G143" i="46"/>
  <c r="D144" i="46"/>
  <c r="J151" i="6"/>
  <c r="I64" i="46"/>
  <c r="F65" i="46"/>
  <c r="H65" i="46" s="1"/>
  <c r="B65" i="46"/>
  <c r="H66" i="28"/>
  <c r="H67" i="27"/>
  <c r="D68" i="27"/>
  <c r="G67" i="27"/>
  <c r="J151" i="8"/>
  <c r="J150" i="4"/>
  <c r="H62" i="42"/>
  <c r="I62" i="42" s="1"/>
  <c r="H62" i="45"/>
  <c r="I62" i="45" s="1"/>
  <c r="G72" i="4"/>
  <c r="G73" i="4" s="1"/>
  <c r="D63" i="44"/>
  <c r="G62" i="44"/>
  <c r="H62" i="44"/>
  <c r="H72" i="6"/>
  <c r="G72" i="6"/>
  <c r="G73" i="6" s="1"/>
  <c r="G72" i="8"/>
  <c r="G73" i="8" s="1"/>
  <c r="G64" i="13"/>
  <c r="I64" i="13" s="1"/>
  <c r="H72" i="5"/>
  <c r="H73" i="5" s="1"/>
  <c r="D153" i="8"/>
  <c r="E153" i="8" s="1"/>
  <c r="G152" i="8"/>
  <c r="I142" i="40"/>
  <c r="H142" i="40"/>
  <c r="I149" i="25"/>
  <c r="H149" i="25"/>
  <c r="E151" i="5"/>
  <c r="F151" i="5" s="1"/>
  <c r="B151" i="5"/>
  <c r="H149" i="22"/>
  <c r="I149" i="22"/>
  <c r="D152" i="4"/>
  <c r="G151" i="4"/>
  <c r="G152" i="6"/>
  <c r="D153" i="6"/>
  <c r="B153" i="6" s="1"/>
  <c r="E153" i="6"/>
  <c r="F153" i="6" s="1"/>
  <c r="E153" i="9"/>
  <c r="B153" i="9"/>
  <c r="F153" i="9"/>
  <c r="I153" i="7"/>
  <c r="H153" i="7"/>
  <c r="J150" i="3"/>
  <c r="B145" i="30"/>
  <c r="F145" i="30"/>
  <c r="H150" i="5"/>
  <c r="I150" i="5"/>
  <c r="E150" i="22"/>
  <c r="F150" i="22" s="1"/>
  <c r="D147" i="28"/>
  <c r="B147" i="28" s="1"/>
  <c r="G146" i="28"/>
  <c r="I152" i="9"/>
  <c r="H152" i="9"/>
  <c r="E154" i="7"/>
  <c r="E155" i="7" s="1"/>
  <c r="B154" i="7"/>
  <c r="G143" i="38"/>
  <c r="D144" i="38"/>
  <c r="E144" i="38" s="1"/>
  <c r="F143" i="37"/>
  <c r="B143" i="37"/>
  <c r="E154" i="10"/>
  <c r="E155" i="10" s="1"/>
  <c r="B154" i="10"/>
  <c r="G153" i="11"/>
  <c r="D154" i="11"/>
  <c r="E154" i="11" s="1"/>
  <c r="E155" i="11" s="1"/>
  <c r="I145" i="28"/>
  <c r="H145" i="28"/>
  <c r="E148" i="24"/>
  <c r="F148" i="24"/>
  <c r="B148" i="24"/>
  <c r="H146" i="27"/>
  <c r="I146" i="27"/>
  <c r="F143" i="40"/>
  <c r="B143" i="40"/>
  <c r="H144" i="30"/>
  <c r="I144" i="30"/>
  <c r="H142" i="37"/>
  <c r="I142" i="37"/>
  <c r="D150" i="23"/>
  <c r="B150" i="23" s="1"/>
  <c r="G149" i="23"/>
  <c r="E150" i="25"/>
  <c r="F150" i="25" s="1"/>
  <c r="B150" i="25"/>
  <c r="D152" i="3"/>
  <c r="G151" i="3"/>
  <c r="I153" i="10"/>
  <c r="H153" i="10"/>
  <c r="I147" i="24"/>
  <c r="H147" i="24"/>
  <c r="E147" i="27"/>
  <c r="F147" i="27" s="1"/>
  <c r="B147" i="27"/>
  <c r="G147" i="29"/>
  <c r="D148" i="29"/>
  <c r="E148" i="29" s="1"/>
  <c r="J146" i="29"/>
  <c r="H73" i="8"/>
  <c r="D65" i="39"/>
  <c r="E65" i="39" s="1"/>
  <c r="G64" i="39"/>
  <c r="H64" i="39"/>
  <c r="D64" i="37"/>
  <c r="E64" i="37" s="1"/>
  <c r="H63" i="37"/>
  <c r="G63" i="37"/>
  <c r="D69" i="24"/>
  <c r="H68" i="24"/>
  <c r="G68" i="24"/>
  <c r="D64" i="38"/>
  <c r="E64" i="38" s="1"/>
  <c r="H63" i="38"/>
  <c r="G63" i="38"/>
  <c r="D71" i="25"/>
  <c r="E71" i="25" s="1"/>
  <c r="D64" i="40"/>
  <c r="E64" i="40" s="1"/>
  <c r="D64" i="41"/>
  <c r="E64" i="41" s="1"/>
  <c r="F72" i="3"/>
  <c r="I144" i="13"/>
  <c r="H144" i="13"/>
  <c r="B68" i="29"/>
  <c r="F68" i="29"/>
  <c r="G68" i="29" s="1"/>
  <c r="D70" i="23"/>
  <c r="E70" i="23" s="1"/>
  <c r="D66" i="30"/>
  <c r="E66" i="30" s="1"/>
  <c r="G143" i="39"/>
  <c r="D144" i="39"/>
  <c r="E144" i="39" s="1"/>
  <c r="D64" i="43"/>
  <c r="E64" i="43" s="1"/>
  <c r="B145" i="13"/>
  <c r="D67" i="28"/>
  <c r="E67" i="28" s="1"/>
  <c r="B143" i="43"/>
  <c r="F143" i="43"/>
  <c r="E145" i="13"/>
  <c r="F145" i="13" s="1"/>
  <c r="B143" i="41"/>
  <c r="F143" i="41"/>
  <c r="F144" i="44"/>
  <c r="B144" i="44"/>
  <c r="D71" i="22"/>
  <c r="E71" i="22" s="1"/>
  <c r="I142" i="41"/>
  <c r="H142" i="41"/>
  <c r="H143" i="44"/>
  <c r="I143" i="44"/>
  <c r="I72" i="4"/>
  <c r="I73" i="4" s="1"/>
  <c r="H73" i="4"/>
  <c r="D63" i="42"/>
  <c r="E63" i="42" s="1"/>
  <c r="I66" i="28"/>
  <c r="H142" i="43"/>
  <c r="I142" i="43"/>
  <c r="H70" i="22"/>
  <c r="B143" i="45"/>
  <c r="F143" i="45"/>
  <c r="D63" i="45"/>
  <c r="E63" i="45" s="1"/>
  <c r="G65" i="30"/>
  <c r="I65" i="30" s="1"/>
  <c r="H63" i="43"/>
  <c r="I63" i="43" s="1"/>
  <c r="B147" i="31"/>
  <c r="F147" i="31"/>
  <c r="B66" i="31"/>
  <c r="F66" i="31"/>
  <c r="H66" i="31" s="1"/>
  <c r="G70" i="22"/>
  <c r="G70" i="25"/>
  <c r="I70" i="25" s="1"/>
  <c r="H142" i="45"/>
  <c r="I142" i="45"/>
  <c r="D65" i="13"/>
  <c r="H69" i="23"/>
  <c r="I69" i="23" s="1"/>
  <c r="G63" i="40"/>
  <c r="I63" i="40" s="1"/>
  <c r="H63" i="41"/>
  <c r="I63" i="41" s="1"/>
  <c r="H146" i="31"/>
  <c r="I146" i="31"/>
  <c r="E144" i="42" l="1"/>
  <c r="F144" i="42"/>
  <c r="B144" i="42"/>
  <c r="I143" i="42"/>
  <c r="H143" i="42"/>
  <c r="I62" i="44"/>
  <c r="I67" i="27"/>
  <c r="E144" i="46"/>
  <c r="F144" i="46" s="1"/>
  <c r="B144" i="46"/>
  <c r="H143" i="46"/>
  <c r="I143" i="46"/>
  <c r="G65" i="46"/>
  <c r="I65" i="46" s="1"/>
  <c r="D66" i="46"/>
  <c r="E66" i="46" s="1"/>
  <c r="E68" i="27"/>
  <c r="F68" i="27" s="1"/>
  <c r="B68" i="27"/>
  <c r="F154" i="10"/>
  <c r="G154" i="10" s="1"/>
  <c r="I72" i="8"/>
  <c r="I73" i="8" s="1"/>
  <c r="F154" i="7"/>
  <c r="G154" i="7" s="1"/>
  <c r="J150" i="5"/>
  <c r="I70" i="22"/>
  <c r="I63" i="38"/>
  <c r="I68" i="24"/>
  <c r="I72" i="6"/>
  <c r="I73" i="6" s="1"/>
  <c r="H73" i="6"/>
  <c r="I64" i="39"/>
  <c r="E63" i="44"/>
  <c r="F63" i="44" s="1"/>
  <c r="G63" i="44" s="1"/>
  <c r="B63" i="44"/>
  <c r="G151" i="5"/>
  <c r="D152" i="5"/>
  <c r="G147" i="27"/>
  <c r="D148" i="27"/>
  <c r="B148" i="27" s="1"/>
  <c r="H151" i="3"/>
  <c r="I151" i="3"/>
  <c r="J145" i="28"/>
  <c r="G143" i="37"/>
  <c r="D144" i="37"/>
  <c r="E144" i="37" s="1"/>
  <c r="I154" i="7"/>
  <c r="H154" i="7"/>
  <c r="H155" i="7" s="1"/>
  <c r="G150" i="22"/>
  <c r="D151" i="22"/>
  <c r="B151" i="22" s="1"/>
  <c r="D154" i="9"/>
  <c r="E154" i="9" s="1"/>
  <c r="E155" i="9" s="1"/>
  <c r="G153" i="9"/>
  <c r="E152" i="3"/>
  <c r="F152" i="3" s="1"/>
  <c r="B152" i="3"/>
  <c r="E150" i="23"/>
  <c r="F150" i="23" s="1"/>
  <c r="G143" i="40"/>
  <c r="D144" i="40"/>
  <c r="E144" i="40" s="1"/>
  <c r="G148" i="24"/>
  <c r="D149" i="24"/>
  <c r="I154" i="10"/>
  <c r="H154" i="10"/>
  <c r="H155" i="10" s="1"/>
  <c r="B144" i="38"/>
  <c r="F144" i="38"/>
  <c r="E147" i="28"/>
  <c r="F147" i="28" s="1"/>
  <c r="I152" i="6"/>
  <c r="H152" i="6"/>
  <c r="I149" i="23"/>
  <c r="H149" i="23"/>
  <c r="J144" i="30"/>
  <c r="J146" i="27"/>
  <c r="B154" i="11"/>
  <c r="F154" i="11"/>
  <c r="G154" i="11" s="1"/>
  <c r="H143" i="38"/>
  <c r="I143" i="38"/>
  <c r="H146" i="28"/>
  <c r="I146" i="28"/>
  <c r="H151" i="4"/>
  <c r="I151" i="4"/>
  <c r="J151" i="4" s="1"/>
  <c r="I152" i="8"/>
  <c r="H152" i="8"/>
  <c r="J153" i="10"/>
  <c r="D151" i="25"/>
  <c r="G150" i="25"/>
  <c r="I153" i="11"/>
  <c r="H153" i="11"/>
  <c r="D146" i="30"/>
  <c r="B146" i="30" s="1"/>
  <c r="G145" i="30"/>
  <c r="J153" i="7"/>
  <c r="I155" i="7"/>
  <c r="G153" i="6"/>
  <c r="D154" i="6"/>
  <c r="E154" i="6" s="1"/>
  <c r="E155" i="6" s="1"/>
  <c r="E152" i="4"/>
  <c r="F152" i="4" s="1"/>
  <c r="B152" i="4"/>
  <c r="F153" i="8"/>
  <c r="B153" i="8"/>
  <c r="B148" i="29"/>
  <c r="F148" i="29"/>
  <c r="H147" i="29"/>
  <c r="I147" i="29"/>
  <c r="D146" i="13"/>
  <c r="E146" i="13" s="1"/>
  <c r="G145" i="13"/>
  <c r="B69" i="24"/>
  <c r="B63" i="42"/>
  <c r="F63" i="42"/>
  <c r="H63" i="42" s="1"/>
  <c r="E69" i="24"/>
  <c r="F69" i="24" s="1"/>
  <c r="F71" i="22"/>
  <c r="H71" i="22" s="1"/>
  <c r="B71" i="22"/>
  <c r="G143" i="41"/>
  <c r="D144" i="41"/>
  <c r="E144" i="41" s="1"/>
  <c r="F67" i="28"/>
  <c r="B67" i="28"/>
  <c r="F66" i="30"/>
  <c r="H66" i="30" s="1"/>
  <c r="B66" i="30"/>
  <c r="G147" i="31"/>
  <c r="D148" i="31"/>
  <c r="E148" i="31" s="1"/>
  <c r="D144" i="45"/>
  <c r="E144" i="45" s="1"/>
  <c r="G143" i="45"/>
  <c r="G72" i="3"/>
  <c r="G73" i="3" s="1"/>
  <c r="H72" i="3"/>
  <c r="B63" i="45"/>
  <c r="F63" i="45"/>
  <c r="H63" i="45" s="1"/>
  <c r="J146" i="31"/>
  <c r="F70" i="23"/>
  <c r="H70" i="23" s="1"/>
  <c r="B70" i="23"/>
  <c r="F65" i="39"/>
  <c r="B65" i="39"/>
  <c r="B64" i="43"/>
  <c r="F64" i="43"/>
  <c r="H64" i="43" s="1"/>
  <c r="D69" i="29"/>
  <c r="E69" i="29" s="1"/>
  <c r="B64" i="41"/>
  <c r="F64" i="41"/>
  <c r="G64" i="41" s="1"/>
  <c r="F71" i="25"/>
  <c r="G71" i="25" s="1"/>
  <c r="B71" i="25"/>
  <c r="F64" i="38"/>
  <c r="G64" i="38" s="1"/>
  <c r="B64" i="38"/>
  <c r="B65" i="13"/>
  <c r="D144" i="43"/>
  <c r="E144" i="43" s="1"/>
  <c r="G143" i="43"/>
  <c r="F144" i="39"/>
  <c r="B144" i="39"/>
  <c r="H68" i="29"/>
  <c r="I68" i="29" s="1"/>
  <c r="I63" i="37"/>
  <c r="D67" i="31"/>
  <c r="E67" i="31" s="1"/>
  <c r="E65" i="13"/>
  <c r="F65" i="13" s="1"/>
  <c r="G66" i="31"/>
  <c r="I66" i="31" s="1"/>
  <c r="D145" i="44"/>
  <c r="G144" i="44"/>
  <c r="I143" i="39"/>
  <c r="H143" i="39"/>
  <c r="F64" i="40"/>
  <c r="B64" i="40"/>
  <c r="B64" i="37"/>
  <c r="F64" i="37"/>
  <c r="H64" i="37" s="1"/>
  <c r="D145" i="42" l="1"/>
  <c r="G144" i="42"/>
  <c r="H64" i="38"/>
  <c r="I64" i="38" s="1"/>
  <c r="G144" i="46"/>
  <c r="D145" i="46"/>
  <c r="J147" i="29"/>
  <c r="E151" i="22"/>
  <c r="F151" i="22" s="1"/>
  <c r="B66" i="46"/>
  <c r="F66" i="46"/>
  <c r="H66" i="46" s="1"/>
  <c r="J146" i="28"/>
  <c r="H68" i="27"/>
  <c r="G68" i="27"/>
  <c r="D69" i="27"/>
  <c r="B69" i="27" s="1"/>
  <c r="J154" i="10"/>
  <c r="I155" i="10"/>
  <c r="J154" i="7"/>
  <c r="G70" i="23"/>
  <c r="I70" i="23" s="1"/>
  <c r="G64" i="37"/>
  <c r="I64" i="37" s="1"/>
  <c r="H71" i="25"/>
  <c r="I71" i="25" s="1"/>
  <c r="H63" i="44"/>
  <c r="I63" i="44" s="1"/>
  <c r="D64" i="44"/>
  <c r="G152" i="3"/>
  <c r="D153" i="3"/>
  <c r="B151" i="25"/>
  <c r="J152" i="8"/>
  <c r="G144" i="38"/>
  <c r="D145" i="38"/>
  <c r="E149" i="24"/>
  <c r="F149" i="24" s="1"/>
  <c r="B149" i="24"/>
  <c r="H143" i="40"/>
  <c r="I143" i="40"/>
  <c r="G151" i="22"/>
  <c r="D152" i="22"/>
  <c r="J155" i="7"/>
  <c r="G153" i="8"/>
  <c r="D154" i="8"/>
  <c r="B154" i="8" s="1"/>
  <c r="B154" i="6"/>
  <c r="F154" i="6"/>
  <c r="G154" i="6" s="1"/>
  <c r="E146" i="30"/>
  <c r="F146" i="30" s="1"/>
  <c r="H148" i="24"/>
  <c r="I148" i="24"/>
  <c r="D151" i="23"/>
  <c r="G150" i="23"/>
  <c r="J151" i="3"/>
  <c r="H147" i="27"/>
  <c r="I147" i="27"/>
  <c r="I153" i="6"/>
  <c r="H153" i="6"/>
  <c r="H145" i="30"/>
  <c r="I145" i="30"/>
  <c r="I150" i="25"/>
  <c r="H150" i="25"/>
  <c r="J152" i="6"/>
  <c r="I153" i="9"/>
  <c r="H153" i="9"/>
  <c r="I150" i="22"/>
  <c r="H150" i="22"/>
  <c r="F144" i="37"/>
  <c r="B144" i="37"/>
  <c r="E152" i="5"/>
  <c r="F152" i="5" s="1"/>
  <c r="B152" i="5"/>
  <c r="G152" i="4"/>
  <c r="D153" i="4"/>
  <c r="E151" i="25"/>
  <c r="F151" i="25" s="1"/>
  <c r="H154" i="11"/>
  <c r="H155" i="11" s="1"/>
  <c r="I154" i="11"/>
  <c r="I155" i="11" s="1"/>
  <c r="G147" i="28"/>
  <c r="D148" i="28"/>
  <c r="J155" i="10"/>
  <c r="B144" i="40"/>
  <c r="F144" i="40"/>
  <c r="B154" i="9"/>
  <c r="F154" i="9"/>
  <c r="G154" i="9" s="1"/>
  <c r="H143" i="37"/>
  <c r="I143" i="37"/>
  <c r="E148" i="27"/>
  <c r="F148" i="27" s="1"/>
  <c r="H151" i="5"/>
  <c r="I151" i="5"/>
  <c r="G148" i="29"/>
  <c r="D149" i="29"/>
  <c r="B149" i="29" s="1"/>
  <c r="D66" i="13"/>
  <c r="E66" i="13" s="1"/>
  <c r="H65" i="13"/>
  <c r="G65" i="13"/>
  <c r="D70" i="24"/>
  <c r="E70" i="24" s="1"/>
  <c r="G69" i="24"/>
  <c r="H69" i="24"/>
  <c r="B145" i="44"/>
  <c r="D65" i="43"/>
  <c r="E65" i="43" s="1"/>
  <c r="D66" i="39"/>
  <c r="E66" i="39" s="1"/>
  <c r="H147" i="31"/>
  <c r="I147" i="31"/>
  <c r="D68" i="28"/>
  <c r="E68" i="28" s="1"/>
  <c r="H64" i="41"/>
  <c r="I64" i="41" s="1"/>
  <c r="G63" i="42"/>
  <c r="I63" i="42" s="1"/>
  <c r="I145" i="13"/>
  <c r="H145" i="13"/>
  <c r="F144" i="41"/>
  <c r="B144" i="41"/>
  <c r="B67" i="31"/>
  <c r="F67" i="31"/>
  <c r="G67" i="31" s="1"/>
  <c r="I72" i="3"/>
  <c r="I73" i="3" s="1"/>
  <c r="H73" i="3"/>
  <c r="D67" i="30"/>
  <c r="E67" i="30" s="1"/>
  <c r="I143" i="41"/>
  <c r="H143" i="41"/>
  <c r="D64" i="42"/>
  <c r="E64" i="42" s="1"/>
  <c r="F146" i="13"/>
  <c r="B146" i="13"/>
  <c r="D65" i="40"/>
  <c r="E65" i="40" s="1"/>
  <c r="D65" i="37"/>
  <c r="E65" i="37" s="1"/>
  <c r="I143" i="43"/>
  <c r="H143" i="43"/>
  <c r="D65" i="38"/>
  <c r="E65" i="38" s="1"/>
  <c r="D71" i="23"/>
  <c r="E71" i="23" s="1"/>
  <c r="H143" i="45"/>
  <c r="I143" i="45"/>
  <c r="G66" i="30"/>
  <c r="I66" i="30" s="1"/>
  <c r="G71" i="22"/>
  <c r="I71" i="22" s="1"/>
  <c r="G64" i="40"/>
  <c r="D145" i="39"/>
  <c r="E145" i="39" s="1"/>
  <c r="G144" i="39"/>
  <c r="D65" i="41"/>
  <c r="H64" i="40"/>
  <c r="B144" i="43"/>
  <c r="F144" i="43"/>
  <c r="H65" i="39"/>
  <c r="G63" i="45"/>
  <c r="I63" i="45" s="1"/>
  <c r="B144" i="45"/>
  <c r="F144" i="45"/>
  <c r="G67" i="28"/>
  <c r="H144" i="44"/>
  <c r="I144" i="44"/>
  <c r="F69" i="29"/>
  <c r="H69" i="29" s="1"/>
  <c r="B69" i="29"/>
  <c r="E145" i="44"/>
  <c r="F145" i="44" s="1"/>
  <c r="D72" i="25"/>
  <c r="G64" i="43"/>
  <c r="I64" i="43" s="1"/>
  <c r="G65" i="39"/>
  <c r="D64" i="45"/>
  <c r="E64" i="45" s="1"/>
  <c r="F148" i="31"/>
  <c r="B148" i="31"/>
  <c r="H67" i="28"/>
  <c r="D72" i="22"/>
  <c r="E72" i="22" s="1"/>
  <c r="E73" i="22" s="1"/>
  <c r="I144" i="42" l="1"/>
  <c r="H144" i="42"/>
  <c r="E145" i="42"/>
  <c r="F145" i="42"/>
  <c r="B145" i="42"/>
  <c r="I64" i="40"/>
  <c r="E145" i="46"/>
  <c r="F145" i="46" s="1"/>
  <c r="B145" i="46"/>
  <c r="H144" i="46"/>
  <c r="I144" i="46"/>
  <c r="E69" i="27"/>
  <c r="F69" i="27" s="1"/>
  <c r="D70" i="27" s="1"/>
  <c r="E70" i="27" s="1"/>
  <c r="J151" i="5"/>
  <c r="D67" i="46"/>
  <c r="G66" i="46"/>
  <c r="I66" i="46" s="1"/>
  <c r="H69" i="27"/>
  <c r="I68" i="27"/>
  <c r="I69" i="24"/>
  <c r="J153" i="6"/>
  <c r="G69" i="29"/>
  <c r="I69" i="29" s="1"/>
  <c r="I65" i="13"/>
  <c r="I67" i="28"/>
  <c r="E64" i="44"/>
  <c r="F64" i="44" s="1"/>
  <c r="H64" i="44" s="1"/>
  <c r="B64" i="44"/>
  <c r="G151" i="25"/>
  <c r="D152" i="25"/>
  <c r="G152" i="5"/>
  <c r="D153" i="5"/>
  <c r="B153" i="5" s="1"/>
  <c r="D149" i="27"/>
  <c r="G148" i="27"/>
  <c r="E148" i="28"/>
  <c r="F148" i="28" s="1"/>
  <c r="B148" i="28"/>
  <c r="B151" i="23"/>
  <c r="I154" i="6"/>
  <c r="H154" i="6"/>
  <c r="H155" i="6" s="1"/>
  <c r="E145" i="38"/>
  <c r="F145" i="38" s="1"/>
  <c r="B145" i="38"/>
  <c r="J147" i="31"/>
  <c r="D145" i="40"/>
  <c r="G144" i="40"/>
  <c r="H147" i="28"/>
  <c r="I147" i="28"/>
  <c r="E153" i="4"/>
  <c r="F153" i="4" s="1"/>
  <c r="B153" i="4"/>
  <c r="B152" i="22"/>
  <c r="E152" i="22"/>
  <c r="F152" i="22" s="1"/>
  <c r="D150" i="24"/>
  <c r="B150" i="24" s="1"/>
  <c r="G149" i="24"/>
  <c r="H144" i="38"/>
  <c r="I144" i="38"/>
  <c r="E154" i="8"/>
  <c r="I152" i="4"/>
  <c r="H152" i="4"/>
  <c r="I150" i="23"/>
  <c r="H150" i="23"/>
  <c r="I151" i="22"/>
  <c r="H151" i="22"/>
  <c r="E153" i="3"/>
  <c r="F153" i="3" s="1"/>
  <c r="B153" i="3"/>
  <c r="I154" i="9"/>
  <c r="I155" i="9" s="1"/>
  <c r="H154" i="9"/>
  <c r="H155" i="9" s="1"/>
  <c r="G144" i="37"/>
  <c r="D145" i="37"/>
  <c r="E145" i="37" s="1"/>
  <c r="J145" i="30"/>
  <c r="J147" i="27"/>
  <c r="E151" i="23"/>
  <c r="F151" i="23" s="1"/>
  <c r="G146" i="30"/>
  <c r="D147" i="30"/>
  <c r="I153" i="8"/>
  <c r="H153" i="8"/>
  <c r="I152" i="3"/>
  <c r="H152" i="3"/>
  <c r="E149" i="29"/>
  <c r="F149" i="29" s="1"/>
  <c r="H148" i="29"/>
  <c r="I148" i="29"/>
  <c r="J148" i="29" s="1"/>
  <c r="G145" i="44"/>
  <c r="D146" i="44"/>
  <c r="E146" i="44" s="1"/>
  <c r="B65" i="37"/>
  <c r="F65" i="37"/>
  <c r="G65" i="37" s="1"/>
  <c r="B68" i="28"/>
  <c r="F68" i="28"/>
  <c r="H68" i="28" s="1"/>
  <c r="G144" i="45"/>
  <c r="D145" i="45"/>
  <c r="E145" i="45" s="1"/>
  <c r="D68" i="31"/>
  <c r="E68" i="31" s="1"/>
  <c r="B66" i="39"/>
  <c r="F66" i="39"/>
  <c r="H66" i="39" s="1"/>
  <c r="F66" i="13"/>
  <c r="H66" i="13" s="1"/>
  <c r="B66" i="13"/>
  <c r="B65" i="40"/>
  <c r="F65" i="40"/>
  <c r="G65" i="40" s="1"/>
  <c r="F67" i="30"/>
  <c r="G67" i="30" s="1"/>
  <c r="B67" i="30"/>
  <c r="D70" i="29"/>
  <c r="E70" i="29" s="1"/>
  <c r="B65" i="41"/>
  <c r="G148" i="31"/>
  <c r="D149" i="31"/>
  <c r="E149" i="31" s="1"/>
  <c r="B72" i="25"/>
  <c r="I65" i="39"/>
  <c r="E65" i="41"/>
  <c r="F65" i="41" s="1"/>
  <c r="B65" i="38"/>
  <c r="F65" i="38"/>
  <c r="H65" i="38" s="1"/>
  <c r="G146" i="13"/>
  <c r="D147" i="13"/>
  <c r="B65" i="43"/>
  <c r="F65" i="43"/>
  <c r="G65" i="43" s="1"/>
  <c r="B70" i="24"/>
  <c r="F70" i="24"/>
  <c r="H70" i="24" s="1"/>
  <c r="B64" i="45"/>
  <c r="F64" i="45"/>
  <c r="G64" i="45" s="1"/>
  <c r="D145" i="43"/>
  <c r="E145" i="43" s="1"/>
  <c r="G144" i="43"/>
  <c r="H144" i="39"/>
  <c r="I144" i="39"/>
  <c r="E72" i="25"/>
  <c r="E73" i="25" s="1"/>
  <c r="F72" i="22"/>
  <c r="H72" i="22" s="1"/>
  <c r="B72" i="22"/>
  <c r="B145" i="39"/>
  <c r="F145" i="39"/>
  <c r="F64" i="42"/>
  <c r="G64" i="42" s="1"/>
  <c r="B64" i="42"/>
  <c r="D145" i="41"/>
  <c r="E145" i="41" s="1"/>
  <c r="G144" i="41"/>
  <c r="B71" i="23"/>
  <c r="F71" i="23"/>
  <c r="G71" i="23" s="1"/>
  <c r="H67" i="31"/>
  <c r="I67" i="31" s="1"/>
  <c r="B70" i="27"/>
  <c r="F70" i="27" l="1"/>
  <c r="G70" i="27" s="1"/>
  <c r="D146" i="42"/>
  <c r="G145" i="42"/>
  <c r="G69" i="27"/>
  <c r="I69" i="27" s="1"/>
  <c r="D146" i="46"/>
  <c r="G145" i="46"/>
  <c r="J147" i="28"/>
  <c r="B67" i="46"/>
  <c r="E67" i="46"/>
  <c r="F67" i="46" s="1"/>
  <c r="H64" i="42"/>
  <c r="I64" i="42" s="1"/>
  <c r="G72" i="22"/>
  <c r="G73" i="22" s="1"/>
  <c r="J153" i="8"/>
  <c r="H64" i="45"/>
  <c r="I64" i="45" s="1"/>
  <c r="G66" i="13"/>
  <c r="G65" i="38"/>
  <c r="G68" i="28"/>
  <c r="I68" i="28" s="1"/>
  <c r="H70" i="27"/>
  <c r="I70" i="27" s="1"/>
  <c r="H67" i="30"/>
  <c r="I67" i="30" s="1"/>
  <c r="G64" i="44"/>
  <c r="I64" i="44" s="1"/>
  <c r="D65" i="44"/>
  <c r="E65" i="44" s="1"/>
  <c r="H71" i="23"/>
  <c r="I71" i="23" s="1"/>
  <c r="G70" i="24"/>
  <c r="I70" i="24" s="1"/>
  <c r="I65" i="38"/>
  <c r="G151" i="23"/>
  <c r="D152" i="23"/>
  <c r="D154" i="4"/>
  <c r="G153" i="4"/>
  <c r="G153" i="3"/>
  <c r="D154" i="3"/>
  <c r="E154" i="3" s="1"/>
  <c r="E155" i="3" s="1"/>
  <c r="G152" i="22"/>
  <c r="D153" i="22"/>
  <c r="E153" i="22" s="1"/>
  <c r="D149" i="28"/>
  <c r="G148" i="28"/>
  <c r="J152" i="3"/>
  <c r="H146" i="30"/>
  <c r="I146" i="30"/>
  <c r="H144" i="40"/>
  <c r="I144" i="40"/>
  <c r="G145" i="38"/>
  <c r="D146" i="38"/>
  <c r="B145" i="37"/>
  <c r="F145" i="37"/>
  <c r="J152" i="4"/>
  <c r="E150" i="24"/>
  <c r="F150" i="24" s="1"/>
  <c r="E145" i="40"/>
  <c r="F145" i="40" s="1"/>
  <c r="B145" i="40"/>
  <c r="I148" i="27"/>
  <c r="H148" i="27"/>
  <c r="I152" i="5"/>
  <c r="H152" i="5"/>
  <c r="H144" i="37"/>
  <c r="I144" i="37"/>
  <c r="E155" i="8"/>
  <c r="F154" i="8"/>
  <c r="G154" i="8" s="1"/>
  <c r="I149" i="24"/>
  <c r="H149" i="24"/>
  <c r="E149" i="27"/>
  <c r="F149" i="27" s="1"/>
  <c r="B149" i="27"/>
  <c r="E152" i="25"/>
  <c r="F152" i="25" s="1"/>
  <c r="B152" i="25"/>
  <c r="E147" i="30"/>
  <c r="F147" i="30" s="1"/>
  <c r="B147" i="30"/>
  <c r="I155" i="6"/>
  <c r="J154" i="6"/>
  <c r="J155" i="6" s="1"/>
  <c r="E153" i="5"/>
  <c r="F153" i="5" s="1"/>
  <c r="I151" i="25"/>
  <c r="H151" i="25"/>
  <c r="D150" i="29"/>
  <c r="G149" i="29"/>
  <c r="D66" i="41"/>
  <c r="G65" i="41"/>
  <c r="H65" i="41"/>
  <c r="H73" i="22"/>
  <c r="D146" i="39"/>
  <c r="E146" i="39" s="1"/>
  <c r="G145" i="39"/>
  <c r="D66" i="40"/>
  <c r="E66" i="40" s="1"/>
  <c r="H145" i="44"/>
  <c r="I145" i="44"/>
  <c r="H65" i="43"/>
  <c r="I65" i="43" s="1"/>
  <c r="B149" i="31"/>
  <c r="F149" i="31"/>
  <c r="G66" i="39"/>
  <c r="I66" i="39" s="1"/>
  <c r="I144" i="41"/>
  <c r="H144" i="41"/>
  <c r="I148" i="31"/>
  <c r="H148" i="31"/>
  <c r="H65" i="40"/>
  <c r="I65" i="40" s="1"/>
  <c r="F145" i="45"/>
  <c r="B145" i="45"/>
  <c r="B145" i="41"/>
  <c r="F145" i="41"/>
  <c r="D65" i="45"/>
  <c r="B147" i="13"/>
  <c r="I66" i="13"/>
  <c r="I144" i="45"/>
  <c r="H144" i="45"/>
  <c r="D71" i="27"/>
  <c r="I144" i="43"/>
  <c r="H144" i="43"/>
  <c r="I146" i="13"/>
  <c r="H146" i="13"/>
  <c r="D69" i="28"/>
  <c r="E69" i="28" s="1"/>
  <c r="D66" i="37"/>
  <c r="E66" i="37" s="1"/>
  <c r="D72" i="23"/>
  <c r="E72" i="23" s="1"/>
  <c r="E73" i="23" s="1"/>
  <c r="F145" i="43"/>
  <c r="B145" i="43"/>
  <c r="D71" i="24"/>
  <c r="E147" i="13"/>
  <c r="F147" i="13" s="1"/>
  <c r="F72" i="25"/>
  <c r="D65" i="42"/>
  <c r="E65" i="42" s="1"/>
  <c r="D66" i="38"/>
  <c r="E66" i="38" s="1"/>
  <c r="D68" i="30"/>
  <c r="E68" i="30" s="1"/>
  <c r="D67" i="13"/>
  <c r="E67" i="13" s="1"/>
  <c r="F68" i="31"/>
  <c r="G68" i="31" s="1"/>
  <c r="H68" i="31"/>
  <c r="B68" i="31"/>
  <c r="H65" i="37"/>
  <c r="I65" i="37" s="1"/>
  <c r="D66" i="43"/>
  <c r="E66" i="43" s="1"/>
  <c r="F70" i="29"/>
  <c r="B70" i="29"/>
  <c r="D67" i="39"/>
  <c r="E67" i="39" s="1"/>
  <c r="B146" i="44"/>
  <c r="F146" i="44"/>
  <c r="I145" i="42" l="1"/>
  <c r="H145" i="42"/>
  <c r="E146" i="42"/>
  <c r="F146" i="42" s="1"/>
  <c r="B146" i="42"/>
  <c r="I72" i="22"/>
  <c r="I73" i="22" s="1"/>
  <c r="H145" i="46"/>
  <c r="I145" i="46"/>
  <c r="E146" i="46"/>
  <c r="F146" i="46" s="1"/>
  <c r="B146" i="46"/>
  <c r="D68" i="46"/>
  <c r="E68" i="46" s="1"/>
  <c r="H67" i="46"/>
  <c r="G67" i="46"/>
  <c r="J148" i="31"/>
  <c r="J148" i="27"/>
  <c r="F65" i="44"/>
  <c r="H65" i="44" s="1"/>
  <c r="B65" i="44"/>
  <c r="I65" i="41"/>
  <c r="G147" i="30"/>
  <c r="D148" i="30"/>
  <c r="B148" i="30" s="1"/>
  <c r="G152" i="25"/>
  <c r="D153" i="25"/>
  <c r="B153" i="25" s="1"/>
  <c r="D154" i="5"/>
  <c r="G153" i="5"/>
  <c r="I148" i="28"/>
  <c r="H148" i="28"/>
  <c r="I153" i="4"/>
  <c r="H153" i="4"/>
  <c r="D150" i="27"/>
  <c r="G149" i="27"/>
  <c r="D151" i="24"/>
  <c r="G150" i="24"/>
  <c r="E146" i="38"/>
  <c r="F146" i="38" s="1"/>
  <c r="B146" i="38"/>
  <c r="J146" i="30"/>
  <c r="E149" i="28"/>
  <c r="F149" i="28" s="1"/>
  <c r="B149" i="28"/>
  <c r="E154" i="4"/>
  <c r="E155" i="4" s="1"/>
  <c r="B154" i="4"/>
  <c r="I154" i="8"/>
  <c r="H154" i="8"/>
  <c r="H155" i="8" s="1"/>
  <c r="D146" i="40"/>
  <c r="E146" i="40" s="1"/>
  <c r="G145" i="40"/>
  <c r="I145" i="38"/>
  <c r="H145" i="38"/>
  <c r="B153" i="22"/>
  <c r="F153" i="22"/>
  <c r="B154" i="3"/>
  <c r="F154" i="3"/>
  <c r="G154" i="3" s="1"/>
  <c r="E152" i="23"/>
  <c r="F152" i="23" s="1"/>
  <c r="B152" i="23"/>
  <c r="J152" i="5"/>
  <c r="D146" i="37"/>
  <c r="G145" i="37"/>
  <c r="I152" i="22"/>
  <c r="H152" i="22"/>
  <c r="I153" i="3"/>
  <c r="H153" i="3"/>
  <c r="I151" i="23"/>
  <c r="H151" i="23"/>
  <c r="H149" i="29"/>
  <c r="I149" i="29"/>
  <c r="E150" i="29"/>
  <c r="F150" i="29" s="1"/>
  <c r="B150" i="29"/>
  <c r="G147" i="13"/>
  <c r="D148" i="13"/>
  <c r="E148" i="13" s="1"/>
  <c r="G72" i="25"/>
  <c r="G73" i="25" s="1"/>
  <c r="H72" i="25"/>
  <c r="B65" i="45"/>
  <c r="B69" i="28"/>
  <c r="F69" i="28"/>
  <c r="H69" i="28" s="1"/>
  <c r="E65" i="45"/>
  <c r="F65" i="45" s="1"/>
  <c r="H145" i="39"/>
  <c r="I145" i="39"/>
  <c r="F66" i="38"/>
  <c r="H66" i="38" s="1"/>
  <c r="B66" i="38"/>
  <c r="D71" i="29"/>
  <c r="B71" i="24"/>
  <c r="B71" i="27"/>
  <c r="G145" i="41"/>
  <c r="D146" i="41"/>
  <c r="E146" i="41" s="1"/>
  <c r="F72" i="23"/>
  <c r="G72" i="23" s="1"/>
  <c r="G73" i="23" s="1"/>
  <c r="B72" i="23"/>
  <c r="G70" i="29"/>
  <c r="E71" i="27"/>
  <c r="F71" i="27" s="1"/>
  <c r="F146" i="39"/>
  <c r="B146" i="39"/>
  <c r="E71" i="24"/>
  <c r="F71" i="24" s="1"/>
  <c r="H70" i="29"/>
  <c r="B67" i="13"/>
  <c r="F67" i="13"/>
  <c r="H67" i="13" s="1"/>
  <c r="D146" i="43"/>
  <c r="E146" i="43" s="1"/>
  <c r="G145" i="43"/>
  <c r="I68" i="31"/>
  <c r="D69" i="31"/>
  <c r="E69" i="31" s="1"/>
  <c r="D147" i="44"/>
  <c r="G146" i="44"/>
  <c r="F66" i="43"/>
  <c r="G66" i="43" s="1"/>
  <c r="B66" i="43"/>
  <c r="D146" i="45"/>
  <c r="E146" i="45" s="1"/>
  <c r="G145" i="45"/>
  <c r="B66" i="41"/>
  <c r="F67" i="39"/>
  <c r="B67" i="39"/>
  <c r="B68" i="30"/>
  <c r="F68" i="30"/>
  <c r="H68" i="30" s="1"/>
  <c r="B65" i="42"/>
  <c r="F65" i="42"/>
  <c r="H65" i="42" s="1"/>
  <c r="B66" i="37"/>
  <c r="F66" i="37"/>
  <c r="G66" i="37" s="1"/>
  <c r="G149" i="31"/>
  <c r="D150" i="31"/>
  <c r="B66" i="40"/>
  <c r="F66" i="40"/>
  <c r="H66" i="40" s="1"/>
  <c r="E66" i="41"/>
  <c r="F66" i="41" s="1"/>
  <c r="G146" i="42" l="1"/>
  <c r="D147" i="42"/>
  <c r="G146" i="46"/>
  <c r="D147" i="46"/>
  <c r="B147" i="46" s="1"/>
  <c r="J148" i="28"/>
  <c r="I67" i="46"/>
  <c r="F68" i="46"/>
  <c r="B68" i="46"/>
  <c r="G66" i="38"/>
  <c r="I66" i="38" s="1"/>
  <c r="G66" i="40"/>
  <c r="I66" i="40" s="1"/>
  <c r="E153" i="25"/>
  <c r="F153" i="25" s="1"/>
  <c r="H72" i="23"/>
  <c r="I72" i="23" s="1"/>
  <c r="I73" i="23" s="1"/>
  <c r="F154" i="4"/>
  <c r="G154" i="4" s="1"/>
  <c r="J153" i="4"/>
  <c r="H66" i="43"/>
  <c r="I66" i="43" s="1"/>
  <c r="G69" i="28"/>
  <c r="I69" i="28" s="1"/>
  <c r="H66" i="37"/>
  <c r="I66" i="37" s="1"/>
  <c r="I70" i="29"/>
  <c r="G65" i="44"/>
  <c r="I65" i="44" s="1"/>
  <c r="D66" i="44"/>
  <c r="E66" i="44" s="1"/>
  <c r="G146" i="38"/>
  <c r="D147" i="38"/>
  <c r="G149" i="28"/>
  <c r="D150" i="28"/>
  <c r="I145" i="37"/>
  <c r="H145" i="37"/>
  <c r="D154" i="22"/>
  <c r="G153" i="22"/>
  <c r="J154" i="8"/>
  <c r="J155" i="8" s="1"/>
  <c r="I155" i="8"/>
  <c r="E151" i="24"/>
  <c r="F151" i="24" s="1"/>
  <c r="B151" i="24"/>
  <c r="B154" i="5"/>
  <c r="I152" i="25"/>
  <c r="H152" i="25"/>
  <c r="J153" i="3"/>
  <c r="E146" i="37"/>
  <c r="F146" i="37" s="1"/>
  <c r="B146" i="37"/>
  <c r="I145" i="40"/>
  <c r="H145" i="40"/>
  <c r="H149" i="27"/>
  <c r="I149" i="27"/>
  <c r="J149" i="27" s="1"/>
  <c r="E154" i="5"/>
  <c r="E155" i="5" s="1"/>
  <c r="E148" i="30"/>
  <c r="F148" i="30" s="1"/>
  <c r="I154" i="3"/>
  <c r="I155" i="3" s="1"/>
  <c r="H154" i="3"/>
  <c r="H155" i="3" s="1"/>
  <c r="F146" i="40"/>
  <c r="B146" i="40"/>
  <c r="I154" i="4"/>
  <c r="H154" i="4"/>
  <c r="H155" i="4" s="1"/>
  <c r="E150" i="27"/>
  <c r="F150" i="27" s="1"/>
  <c r="B150" i="27"/>
  <c r="G153" i="25"/>
  <c r="D154" i="25"/>
  <c r="E154" i="25" s="1"/>
  <c r="E155" i="25" s="1"/>
  <c r="D153" i="23"/>
  <c r="E153" i="23"/>
  <c r="G152" i="23"/>
  <c r="I150" i="24"/>
  <c r="H150" i="24"/>
  <c r="I153" i="5"/>
  <c r="H153" i="5"/>
  <c r="H147" i="30"/>
  <c r="I147" i="30"/>
  <c r="D151" i="29"/>
  <c r="G150" i="29"/>
  <c r="J149" i="29"/>
  <c r="D72" i="24"/>
  <c r="E72" i="24" s="1"/>
  <c r="E73" i="24" s="1"/>
  <c r="G71" i="24"/>
  <c r="H71" i="24"/>
  <c r="D66" i="45"/>
  <c r="E66" i="45" s="1"/>
  <c r="G65" i="45"/>
  <c r="H65" i="45"/>
  <c r="D72" i="27"/>
  <c r="E72" i="27" s="1"/>
  <c r="E73" i="27" s="1"/>
  <c r="G71" i="27"/>
  <c r="H71" i="27"/>
  <c r="B147" i="44"/>
  <c r="I145" i="43"/>
  <c r="H145" i="43"/>
  <c r="F146" i="41"/>
  <c r="B146" i="41"/>
  <c r="D67" i="41"/>
  <c r="D68" i="39"/>
  <c r="E68" i="39" s="1"/>
  <c r="I145" i="45"/>
  <c r="H145" i="45"/>
  <c r="B146" i="43"/>
  <c r="F146" i="43"/>
  <c r="I145" i="41"/>
  <c r="H145" i="41"/>
  <c r="B71" i="29"/>
  <c r="I72" i="25"/>
  <c r="I73" i="25" s="1"/>
  <c r="H73" i="25"/>
  <c r="D67" i="37"/>
  <c r="E67" i="37" s="1"/>
  <c r="H67" i="39"/>
  <c r="B69" i="31"/>
  <c r="F69" i="31"/>
  <c r="D147" i="39"/>
  <c r="E147" i="39" s="1"/>
  <c r="G146" i="39"/>
  <c r="E71" i="29"/>
  <c r="F71" i="29" s="1"/>
  <c r="B150" i="31"/>
  <c r="G67" i="39"/>
  <c r="D67" i="43"/>
  <c r="E67" i="43" s="1"/>
  <c r="D68" i="13"/>
  <c r="E150" i="31"/>
  <c r="F150" i="31" s="1"/>
  <c r="D66" i="42"/>
  <c r="E66" i="42" s="1"/>
  <c r="I149" i="31"/>
  <c r="H149" i="31"/>
  <c r="D69" i="30"/>
  <c r="E69" i="30" s="1"/>
  <c r="H66" i="41"/>
  <c r="I146" i="44"/>
  <c r="H146" i="44"/>
  <c r="G67" i="13"/>
  <c r="I67" i="13" s="1"/>
  <c r="F148" i="13"/>
  <c r="B148" i="13"/>
  <c r="B146" i="45"/>
  <c r="F146" i="45"/>
  <c r="G65" i="42"/>
  <c r="I65" i="42" s="1"/>
  <c r="D67" i="40"/>
  <c r="E67" i="40" s="1"/>
  <c r="G68" i="30"/>
  <c r="I68" i="30" s="1"/>
  <c r="G66" i="41"/>
  <c r="E147" i="44"/>
  <c r="F147" i="44" s="1"/>
  <c r="D67" i="38"/>
  <c r="D70" i="28"/>
  <c r="E70" i="28" s="1"/>
  <c r="H147" i="13"/>
  <c r="I147" i="13"/>
  <c r="H73" i="23" l="1"/>
  <c r="E147" i="42"/>
  <c r="B147" i="42"/>
  <c r="F147" i="42"/>
  <c r="E147" i="46"/>
  <c r="F147" i="46" s="1"/>
  <c r="G147" i="46" s="1"/>
  <c r="I146" i="42"/>
  <c r="H146" i="42"/>
  <c r="D148" i="46"/>
  <c r="H146" i="46"/>
  <c r="I146" i="46"/>
  <c r="D69" i="46"/>
  <c r="E69" i="46" s="1"/>
  <c r="G68" i="46"/>
  <c r="H68" i="46"/>
  <c r="I71" i="27"/>
  <c r="I66" i="41"/>
  <c r="I65" i="45"/>
  <c r="I71" i="24"/>
  <c r="F66" i="44"/>
  <c r="D67" i="44" s="1"/>
  <c r="B66" i="44"/>
  <c r="G150" i="27"/>
  <c r="D151" i="27"/>
  <c r="G151" i="24"/>
  <c r="D152" i="24"/>
  <c r="D147" i="37"/>
  <c r="G146" i="37"/>
  <c r="B154" i="25"/>
  <c r="F154" i="25"/>
  <c r="G154" i="25" s="1"/>
  <c r="D149" i="30"/>
  <c r="E149" i="30" s="1"/>
  <c r="G148" i="30"/>
  <c r="I153" i="22"/>
  <c r="H153" i="22"/>
  <c r="E150" i="28"/>
  <c r="F150" i="28"/>
  <c r="B150" i="28"/>
  <c r="I152" i="23"/>
  <c r="H152" i="23"/>
  <c r="H153" i="25"/>
  <c r="I153" i="25"/>
  <c r="D147" i="40"/>
  <c r="B147" i="40" s="1"/>
  <c r="G146" i="40"/>
  <c r="F154" i="5"/>
  <c r="G154" i="5" s="1"/>
  <c r="E154" i="22"/>
  <c r="E155" i="22" s="1"/>
  <c r="B154" i="22"/>
  <c r="H149" i="28"/>
  <c r="I149" i="28"/>
  <c r="J149" i="28" s="1"/>
  <c r="J153" i="5"/>
  <c r="E147" i="38"/>
  <c r="F147" i="38" s="1"/>
  <c r="B147" i="38"/>
  <c r="J147" i="30"/>
  <c r="B153" i="23"/>
  <c r="F153" i="23"/>
  <c r="J154" i="4"/>
  <c r="J155" i="4" s="1"/>
  <c r="I155" i="4"/>
  <c r="J154" i="3"/>
  <c r="J155" i="3" s="1"/>
  <c r="I146" i="38"/>
  <c r="H146" i="38"/>
  <c r="J149" i="31"/>
  <c r="I150" i="29"/>
  <c r="H150" i="29"/>
  <c r="B151" i="29"/>
  <c r="E151" i="29"/>
  <c r="F151" i="29" s="1"/>
  <c r="G150" i="31"/>
  <c r="D151" i="31"/>
  <c r="D72" i="29"/>
  <c r="E72" i="29" s="1"/>
  <c r="E73" i="29" s="1"/>
  <c r="H71" i="29"/>
  <c r="G71" i="29"/>
  <c r="D148" i="44"/>
  <c r="E148" i="44" s="1"/>
  <c r="G147" i="44"/>
  <c r="B68" i="13"/>
  <c r="I67" i="39"/>
  <c r="B67" i="40"/>
  <c r="F67" i="40"/>
  <c r="G148" i="13"/>
  <c r="D149" i="13"/>
  <c r="B67" i="41"/>
  <c r="F67" i="43"/>
  <c r="B67" i="43"/>
  <c r="I146" i="39"/>
  <c r="H146" i="39"/>
  <c r="B67" i="37"/>
  <c r="F67" i="37"/>
  <c r="E67" i="41"/>
  <c r="F67" i="41" s="1"/>
  <c r="B67" i="38"/>
  <c r="B147" i="39"/>
  <c r="F147" i="39"/>
  <c r="G146" i="43"/>
  <c r="D147" i="43"/>
  <c r="E147" i="43" s="1"/>
  <c r="B66" i="45"/>
  <c r="F66" i="45"/>
  <c r="G66" i="45" s="1"/>
  <c r="F70" i="28"/>
  <c r="H70" i="28" s="1"/>
  <c r="B70" i="28"/>
  <c r="E67" i="38"/>
  <c r="F67" i="38" s="1"/>
  <c r="D147" i="41"/>
  <c r="E147" i="41" s="1"/>
  <c r="G146" i="41"/>
  <c r="D70" i="31"/>
  <c r="E70" i="31" s="1"/>
  <c r="F66" i="42"/>
  <c r="H66" i="42" s="1"/>
  <c r="B66" i="42"/>
  <c r="F69" i="30"/>
  <c r="H69" i="30" s="1"/>
  <c r="B69" i="30"/>
  <c r="H69" i="31"/>
  <c r="G146" i="45"/>
  <c r="D147" i="45"/>
  <c r="E147" i="45" s="1"/>
  <c r="E68" i="13"/>
  <c r="F68" i="13" s="1"/>
  <c r="G69" i="31"/>
  <c r="F68" i="39"/>
  <c r="H68" i="39" s="1"/>
  <c r="B68" i="39"/>
  <c r="F72" i="27"/>
  <c r="G72" i="27" s="1"/>
  <c r="G73" i="27" s="1"/>
  <c r="B72" i="27"/>
  <c r="B72" i="24"/>
  <c r="F72" i="24"/>
  <c r="H72" i="24" s="1"/>
  <c r="G147" i="42" l="1"/>
  <c r="D148" i="42"/>
  <c r="I68" i="46"/>
  <c r="E148" i="46"/>
  <c r="F148" i="46" s="1"/>
  <c r="B148" i="46"/>
  <c r="H147" i="46"/>
  <c r="I147" i="46"/>
  <c r="F69" i="46"/>
  <c r="B69" i="46"/>
  <c r="G72" i="24"/>
  <c r="G73" i="24" s="1"/>
  <c r="H72" i="27"/>
  <c r="I72" i="27" s="1"/>
  <c r="I73" i="27" s="1"/>
  <c r="H66" i="45"/>
  <c r="I66" i="45" s="1"/>
  <c r="G66" i="44"/>
  <c r="E67" i="44"/>
  <c r="F67" i="44" s="1"/>
  <c r="B67" i="44"/>
  <c r="G69" i="30"/>
  <c r="I69" i="30" s="1"/>
  <c r="H66" i="44"/>
  <c r="I66" i="44" s="1"/>
  <c r="I154" i="5"/>
  <c r="H154" i="5"/>
  <c r="H155" i="5" s="1"/>
  <c r="H154" i="25"/>
  <c r="H155" i="25" s="1"/>
  <c r="I154" i="25"/>
  <c r="I155" i="25" s="1"/>
  <c r="E152" i="24"/>
  <c r="F152" i="24" s="1"/>
  <c r="B152" i="24"/>
  <c r="E147" i="40"/>
  <c r="F147" i="40" s="1"/>
  <c r="G150" i="28"/>
  <c r="D151" i="28"/>
  <c r="H151" i="24"/>
  <c r="I151" i="24"/>
  <c r="J150" i="29"/>
  <c r="F154" i="22"/>
  <c r="G154" i="22" s="1"/>
  <c r="H146" i="40"/>
  <c r="I146" i="40"/>
  <c r="I148" i="30"/>
  <c r="H148" i="30"/>
  <c r="H146" i="37"/>
  <c r="I146" i="37"/>
  <c r="E151" i="27"/>
  <c r="F151" i="27" s="1"/>
  <c r="B151" i="27"/>
  <c r="G153" i="23"/>
  <c r="D154" i="23"/>
  <c r="G147" i="38"/>
  <c r="D148" i="38"/>
  <c r="E148" i="38" s="1"/>
  <c r="B149" i="30"/>
  <c r="F149" i="30"/>
  <c r="E147" i="37"/>
  <c r="F147" i="37" s="1"/>
  <c r="B147" i="37"/>
  <c r="I150" i="27"/>
  <c r="H150" i="27"/>
  <c r="D152" i="29"/>
  <c r="B152" i="29" s="1"/>
  <c r="G151" i="29"/>
  <c r="D69" i="13"/>
  <c r="E69" i="13" s="1"/>
  <c r="H68" i="13"/>
  <c r="G68" i="13"/>
  <c r="D68" i="38"/>
  <c r="E68" i="38" s="1"/>
  <c r="G67" i="38"/>
  <c r="H67" i="38"/>
  <c r="H73" i="24"/>
  <c r="D68" i="37"/>
  <c r="D68" i="43"/>
  <c r="E68" i="43" s="1"/>
  <c r="D68" i="40"/>
  <c r="E68" i="40" s="1"/>
  <c r="H147" i="44"/>
  <c r="I147" i="44"/>
  <c r="B151" i="31"/>
  <c r="G67" i="37"/>
  <c r="I150" i="31"/>
  <c r="H150" i="31"/>
  <c r="D68" i="41"/>
  <c r="E68" i="41" s="1"/>
  <c r="G67" i="40"/>
  <c r="F148" i="44"/>
  <c r="B148" i="44"/>
  <c r="D71" i="28"/>
  <c r="H67" i="41"/>
  <c r="H67" i="40"/>
  <c r="I69" i="31"/>
  <c r="D70" i="30"/>
  <c r="E70" i="30" s="1"/>
  <c r="G70" i="28"/>
  <c r="I70" i="28" s="1"/>
  <c r="B147" i="43"/>
  <c r="F147" i="43"/>
  <c r="G67" i="41"/>
  <c r="I71" i="29"/>
  <c r="D67" i="42"/>
  <c r="I146" i="43"/>
  <c r="H146" i="43"/>
  <c r="B149" i="13"/>
  <c r="G66" i="42"/>
  <c r="I66" i="42" s="1"/>
  <c r="F70" i="31"/>
  <c r="G70" i="31" s="1"/>
  <c r="B70" i="31"/>
  <c r="H146" i="41"/>
  <c r="I146" i="41"/>
  <c r="G147" i="39"/>
  <c r="D148" i="39"/>
  <c r="E148" i="39" s="1"/>
  <c r="G67" i="43"/>
  <c r="H148" i="13"/>
  <c r="I148" i="13"/>
  <c r="B72" i="29"/>
  <c r="F72" i="29"/>
  <c r="G72" i="29" s="1"/>
  <c r="G73" i="29" s="1"/>
  <c r="D69" i="39"/>
  <c r="E69" i="39" s="1"/>
  <c r="F147" i="45"/>
  <c r="B147" i="45"/>
  <c r="G68" i="39"/>
  <c r="I68" i="39" s="1"/>
  <c r="H146" i="45"/>
  <c r="I146" i="45"/>
  <c r="B147" i="41"/>
  <c r="F147" i="41"/>
  <c r="D67" i="45"/>
  <c r="H67" i="37"/>
  <c r="H67" i="43"/>
  <c r="E149" i="13"/>
  <c r="F149" i="13" s="1"/>
  <c r="E151" i="31"/>
  <c r="F151" i="31" s="1"/>
  <c r="I67" i="40" l="1"/>
  <c r="E148" i="42"/>
  <c r="B148" i="42"/>
  <c r="F148" i="42"/>
  <c r="H147" i="42"/>
  <c r="I147" i="42"/>
  <c r="D149" i="46"/>
  <c r="G148" i="46"/>
  <c r="I67" i="37"/>
  <c r="H73" i="27"/>
  <c r="I72" i="24"/>
  <c r="I73" i="24" s="1"/>
  <c r="D70" i="46"/>
  <c r="G69" i="46"/>
  <c r="H69" i="46"/>
  <c r="J150" i="27"/>
  <c r="D68" i="44"/>
  <c r="H70" i="31"/>
  <c r="I70" i="31" s="1"/>
  <c r="I67" i="41"/>
  <c r="G67" i="44"/>
  <c r="I67" i="43"/>
  <c r="H67" i="44"/>
  <c r="D152" i="27"/>
  <c r="G151" i="27"/>
  <c r="H147" i="38"/>
  <c r="I147" i="38"/>
  <c r="G147" i="40"/>
  <c r="D148" i="40"/>
  <c r="E152" i="29"/>
  <c r="F152" i="29" s="1"/>
  <c r="G149" i="30"/>
  <c r="D150" i="30"/>
  <c r="B150" i="30" s="1"/>
  <c r="H154" i="22"/>
  <c r="H155" i="22" s="1"/>
  <c r="I154" i="22"/>
  <c r="I155" i="22" s="1"/>
  <c r="B151" i="28"/>
  <c r="D153" i="24"/>
  <c r="G152" i="24"/>
  <c r="D148" i="37"/>
  <c r="G147" i="37"/>
  <c r="E154" i="23"/>
  <c r="E155" i="23" s="1"/>
  <c r="B154" i="23"/>
  <c r="J148" i="30"/>
  <c r="H150" i="28"/>
  <c r="I150" i="28"/>
  <c r="B148" i="38"/>
  <c r="F148" i="38"/>
  <c r="I153" i="23"/>
  <c r="H153" i="23"/>
  <c r="E151" i="28"/>
  <c r="F151" i="28" s="1"/>
  <c r="J154" i="5"/>
  <c r="J155" i="5" s="1"/>
  <c r="I155" i="5"/>
  <c r="J150" i="31"/>
  <c r="G152" i="29"/>
  <c r="D153" i="29"/>
  <c r="I151" i="29"/>
  <c r="H151" i="29"/>
  <c r="G149" i="13"/>
  <c r="D150" i="13"/>
  <c r="E150" i="13" s="1"/>
  <c r="D152" i="31"/>
  <c r="G151" i="31"/>
  <c r="D148" i="41"/>
  <c r="G147" i="41"/>
  <c r="B68" i="41"/>
  <c r="F68" i="41"/>
  <c r="G68" i="41" s="1"/>
  <c r="F68" i="38"/>
  <c r="H68" i="38" s="1"/>
  <c r="B68" i="38"/>
  <c r="B69" i="39"/>
  <c r="F69" i="39"/>
  <c r="H69" i="39" s="1"/>
  <c r="B68" i="40"/>
  <c r="F68" i="40"/>
  <c r="G68" i="40" s="1"/>
  <c r="F70" i="30"/>
  <c r="B70" i="30"/>
  <c r="B67" i="45"/>
  <c r="D148" i="45"/>
  <c r="E148" i="45" s="1"/>
  <c r="G147" i="45"/>
  <c r="B68" i="43"/>
  <c r="F68" i="43"/>
  <c r="G68" i="43" s="1"/>
  <c r="I68" i="13"/>
  <c r="D71" i="31"/>
  <c r="E71" i="31" s="1"/>
  <c r="B67" i="42"/>
  <c r="B71" i="28"/>
  <c r="G148" i="44"/>
  <c r="D149" i="44"/>
  <c r="E149" i="44" s="1"/>
  <c r="B68" i="37"/>
  <c r="B148" i="39"/>
  <c r="F148" i="39"/>
  <c r="H72" i="29"/>
  <c r="E67" i="45"/>
  <c r="F67" i="45" s="1"/>
  <c r="H147" i="39"/>
  <c r="I147" i="39"/>
  <c r="E67" i="42"/>
  <c r="F67" i="42" s="1"/>
  <c r="G147" i="43"/>
  <c r="D148" i="43"/>
  <c r="E148" i="43" s="1"/>
  <c r="E71" i="28"/>
  <c r="F71" i="28" s="1"/>
  <c r="E68" i="37"/>
  <c r="F68" i="37" s="1"/>
  <c r="I67" i="38"/>
  <c r="F69" i="13"/>
  <c r="G69" i="13" s="1"/>
  <c r="B69" i="13"/>
  <c r="H68" i="40" l="1"/>
  <c r="G148" i="42"/>
  <c r="D149" i="42"/>
  <c r="H148" i="46"/>
  <c r="I148" i="46"/>
  <c r="E149" i="46"/>
  <c r="F149" i="46" s="1"/>
  <c r="B149" i="46"/>
  <c r="I69" i="46"/>
  <c r="B70" i="46"/>
  <c r="E70" i="46"/>
  <c r="F70" i="46" s="1"/>
  <c r="E150" i="30"/>
  <c r="F150" i="30" s="1"/>
  <c r="G68" i="38"/>
  <c r="I68" i="38" s="1"/>
  <c r="I67" i="44"/>
  <c r="H69" i="13"/>
  <c r="I69" i="13" s="1"/>
  <c r="B68" i="44"/>
  <c r="E68" i="44"/>
  <c r="F68" i="44" s="1"/>
  <c r="D152" i="28"/>
  <c r="B152" i="28" s="1"/>
  <c r="G151" i="28"/>
  <c r="E153" i="24"/>
  <c r="F153" i="24" s="1"/>
  <c r="B153" i="24"/>
  <c r="J151" i="29"/>
  <c r="G148" i="38"/>
  <c r="D149" i="38"/>
  <c r="E149" i="38" s="1"/>
  <c r="I147" i="37"/>
  <c r="H147" i="37"/>
  <c r="D151" i="30"/>
  <c r="G150" i="30"/>
  <c r="B148" i="40"/>
  <c r="E148" i="37"/>
  <c r="F148" i="37" s="1"/>
  <c r="B148" i="37"/>
  <c r="I147" i="40"/>
  <c r="H147" i="40"/>
  <c r="H151" i="27"/>
  <c r="I151" i="27"/>
  <c r="J150" i="28"/>
  <c r="F154" i="23"/>
  <c r="G154" i="23" s="1"/>
  <c r="I152" i="24"/>
  <c r="H152" i="24"/>
  <c r="I149" i="30"/>
  <c r="H149" i="30"/>
  <c r="E148" i="40"/>
  <c r="F148" i="40" s="1"/>
  <c r="E152" i="27"/>
  <c r="F152" i="27" s="1"/>
  <c r="B152" i="27"/>
  <c r="B153" i="29"/>
  <c r="I152" i="29"/>
  <c r="H152" i="29"/>
  <c r="E153" i="29"/>
  <c r="F153" i="29" s="1"/>
  <c r="D68" i="42"/>
  <c r="E68" i="42" s="1"/>
  <c r="H67" i="42"/>
  <c r="G67" i="42"/>
  <c r="D68" i="45"/>
  <c r="E68" i="45" s="1"/>
  <c r="G67" i="45"/>
  <c r="H67" i="45"/>
  <c r="D69" i="37"/>
  <c r="E69" i="37" s="1"/>
  <c r="H68" i="37"/>
  <c r="G68" i="37"/>
  <c r="D72" i="28"/>
  <c r="E72" i="28" s="1"/>
  <c r="E73" i="28" s="1"/>
  <c r="G71" i="28"/>
  <c r="H71" i="28"/>
  <c r="H147" i="41"/>
  <c r="I147" i="41"/>
  <c r="D71" i="30"/>
  <c r="B148" i="41"/>
  <c r="H70" i="30"/>
  <c r="D69" i="41"/>
  <c r="H151" i="31"/>
  <c r="I151" i="31"/>
  <c r="B152" i="31"/>
  <c r="D70" i="39"/>
  <c r="E70" i="39" s="1"/>
  <c r="D69" i="38"/>
  <c r="H68" i="41"/>
  <c r="I68" i="41" s="1"/>
  <c r="E152" i="31"/>
  <c r="F152" i="31" s="1"/>
  <c r="F149" i="44"/>
  <c r="B149" i="44"/>
  <c r="F150" i="13"/>
  <c r="B150" i="13"/>
  <c r="F71" i="31"/>
  <c r="G71" i="31" s="1"/>
  <c r="B71" i="31"/>
  <c r="F148" i="43"/>
  <c r="B148" i="43"/>
  <c r="H68" i="43"/>
  <c r="I68" i="43" s="1"/>
  <c r="D70" i="13"/>
  <c r="E70" i="13" s="1"/>
  <c r="I147" i="43"/>
  <c r="H147" i="43"/>
  <c r="I72" i="29"/>
  <c r="I73" i="29" s="1"/>
  <c r="H73" i="29"/>
  <c r="H148" i="44"/>
  <c r="I148" i="44"/>
  <c r="H147" i="45"/>
  <c r="I147" i="45"/>
  <c r="D69" i="40"/>
  <c r="E69" i="40" s="1"/>
  <c r="G69" i="39"/>
  <c r="I69" i="39" s="1"/>
  <c r="I149" i="13"/>
  <c r="H149" i="13"/>
  <c r="G148" i="39"/>
  <c r="D149" i="39"/>
  <c r="E149" i="39" s="1"/>
  <c r="D69" i="43"/>
  <c r="E69" i="43" s="1"/>
  <c r="F148" i="45"/>
  <c r="B148" i="45"/>
  <c r="G70" i="30"/>
  <c r="I68" i="40"/>
  <c r="E148" i="41"/>
  <c r="F148" i="41" s="1"/>
  <c r="E149" i="42" l="1"/>
  <c r="F149" i="42" s="1"/>
  <c r="B149" i="42"/>
  <c r="I148" i="42"/>
  <c r="H148" i="42"/>
  <c r="I71" i="28"/>
  <c r="G149" i="46"/>
  <c r="D150" i="46"/>
  <c r="B150" i="46" s="1"/>
  <c r="D71" i="46"/>
  <c r="E71" i="46" s="1"/>
  <c r="G70" i="46"/>
  <c r="H70" i="46"/>
  <c r="H71" i="31"/>
  <c r="I71" i="31" s="1"/>
  <c r="D69" i="44"/>
  <c r="E69" i="44" s="1"/>
  <c r="F69" i="44" s="1"/>
  <c r="G68" i="44"/>
  <c r="I67" i="45"/>
  <c r="H68" i="44"/>
  <c r="D153" i="27"/>
  <c r="G152" i="27"/>
  <c r="G148" i="40"/>
  <c r="D149" i="40"/>
  <c r="B149" i="40" s="1"/>
  <c r="G148" i="37"/>
  <c r="D149" i="37"/>
  <c r="B149" i="37" s="1"/>
  <c r="J149" i="30"/>
  <c r="J151" i="27"/>
  <c r="E152" i="28"/>
  <c r="F152" i="28" s="1"/>
  <c r="I150" i="30"/>
  <c r="J150" i="30" s="1"/>
  <c r="H150" i="30"/>
  <c r="F149" i="38"/>
  <c r="B149" i="38"/>
  <c r="H151" i="28"/>
  <c r="I151" i="28"/>
  <c r="I154" i="23"/>
  <c r="I155" i="23" s="1"/>
  <c r="H154" i="23"/>
  <c r="H155" i="23" s="1"/>
  <c r="E151" i="30"/>
  <c r="F151" i="30" s="1"/>
  <c r="B151" i="30"/>
  <c r="H148" i="38"/>
  <c r="I148" i="38"/>
  <c r="G153" i="24"/>
  <c r="D154" i="24"/>
  <c r="G153" i="29"/>
  <c r="D154" i="29"/>
  <c r="J152" i="29"/>
  <c r="J151" i="31"/>
  <c r="G148" i="41"/>
  <c r="D149" i="41"/>
  <c r="E149" i="41" s="1"/>
  <c r="B69" i="38"/>
  <c r="B69" i="41"/>
  <c r="B71" i="30"/>
  <c r="F69" i="43"/>
  <c r="G69" i="43" s="1"/>
  <c r="B69" i="43"/>
  <c r="D149" i="43"/>
  <c r="E149" i="43" s="1"/>
  <c r="G148" i="43"/>
  <c r="E71" i="30"/>
  <c r="F71" i="30" s="1"/>
  <c r="B70" i="13"/>
  <c r="F70" i="13"/>
  <c r="G70" i="13" s="1"/>
  <c r="F70" i="39"/>
  <c r="H70" i="39" s="1"/>
  <c r="B70" i="39"/>
  <c r="D153" i="31"/>
  <c r="G152" i="31"/>
  <c r="I70" i="30"/>
  <c r="F149" i="39"/>
  <c r="B149" i="39"/>
  <c r="B72" i="28"/>
  <c r="F72" i="28"/>
  <c r="H72" i="28" s="1"/>
  <c r="F68" i="45"/>
  <c r="H68" i="45" s="1"/>
  <c r="B68" i="45"/>
  <c r="I148" i="39"/>
  <c r="H148" i="39"/>
  <c r="G149" i="44"/>
  <c r="D150" i="44"/>
  <c r="D72" i="31"/>
  <c r="I68" i="37"/>
  <c r="I67" i="42"/>
  <c r="F69" i="40"/>
  <c r="B69" i="40"/>
  <c r="D149" i="45"/>
  <c r="E149" i="45" s="1"/>
  <c r="G148" i="45"/>
  <c r="G150" i="13"/>
  <c r="D151" i="13"/>
  <c r="E151" i="13" s="1"/>
  <c r="E69" i="38"/>
  <c r="F69" i="38" s="1"/>
  <c r="E69" i="41"/>
  <c r="F69" i="41" s="1"/>
  <c r="B69" i="37"/>
  <c r="F69" i="37"/>
  <c r="H69" i="37" s="1"/>
  <c r="F68" i="42"/>
  <c r="G68" i="42" s="1"/>
  <c r="B68" i="42"/>
  <c r="D150" i="42" l="1"/>
  <c r="G149" i="42"/>
  <c r="E150" i="46"/>
  <c r="F150" i="46" s="1"/>
  <c r="G150" i="46" s="1"/>
  <c r="D151" i="46"/>
  <c r="I149" i="46"/>
  <c r="H149" i="46"/>
  <c r="I70" i="46"/>
  <c r="F71" i="46"/>
  <c r="H71" i="46" s="1"/>
  <c r="B71" i="46"/>
  <c r="I68" i="44"/>
  <c r="B69" i="44"/>
  <c r="G72" i="28"/>
  <c r="G73" i="28" s="1"/>
  <c r="E149" i="37"/>
  <c r="F149" i="37" s="1"/>
  <c r="G149" i="37" s="1"/>
  <c r="H69" i="43"/>
  <c r="I69" i="43" s="1"/>
  <c r="H69" i="44"/>
  <c r="D70" i="44"/>
  <c r="B70" i="44" s="1"/>
  <c r="H70" i="13"/>
  <c r="I70" i="13" s="1"/>
  <c r="G69" i="44"/>
  <c r="G151" i="30"/>
  <c r="D152" i="30"/>
  <c r="B152" i="30" s="1"/>
  <c r="D150" i="37"/>
  <c r="E150" i="37" s="1"/>
  <c r="B154" i="24"/>
  <c r="D153" i="28"/>
  <c r="G152" i="28"/>
  <c r="H148" i="40"/>
  <c r="I148" i="40"/>
  <c r="E154" i="24"/>
  <c r="E155" i="24" s="1"/>
  <c r="D150" i="38"/>
  <c r="E150" i="38" s="1"/>
  <c r="G149" i="38"/>
  <c r="H148" i="37"/>
  <c r="I148" i="37"/>
  <c r="I152" i="27"/>
  <c r="H152" i="27"/>
  <c r="H153" i="24"/>
  <c r="I153" i="24"/>
  <c r="J151" i="28"/>
  <c r="E149" i="40"/>
  <c r="F149" i="40" s="1"/>
  <c r="E153" i="27"/>
  <c r="F153" i="27" s="1"/>
  <c r="B153" i="27"/>
  <c r="E154" i="29"/>
  <c r="E155" i="29" s="1"/>
  <c r="B154" i="29"/>
  <c r="I153" i="29"/>
  <c r="H153" i="29"/>
  <c r="D70" i="38"/>
  <c r="E70" i="38" s="1"/>
  <c r="H69" i="38"/>
  <c r="G69" i="38"/>
  <c r="H73" i="28"/>
  <c r="D72" i="30"/>
  <c r="H71" i="30"/>
  <c r="G71" i="30"/>
  <c r="D70" i="41"/>
  <c r="E70" i="41" s="1"/>
  <c r="H69" i="41"/>
  <c r="G69" i="41"/>
  <c r="B150" i="44"/>
  <c r="I152" i="31"/>
  <c r="H152" i="31"/>
  <c r="E150" i="44"/>
  <c r="F150" i="44" s="1"/>
  <c r="D69" i="45"/>
  <c r="E69" i="45" s="1"/>
  <c r="B153" i="31"/>
  <c r="D70" i="40"/>
  <c r="E70" i="40" s="1"/>
  <c r="E153" i="31"/>
  <c r="F153" i="31" s="1"/>
  <c r="D70" i="43"/>
  <c r="E70" i="43" s="1"/>
  <c r="B72" i="31"/>
  <c r="I148" i="45"/>
  <c r="H148" i="45"/>
  <c r="G149" i="39"/>
  <c r="D150" i="39"/>
  <c r="D70" i="37"/>
  <c r="E70" i="37" s="1"/>
  <c r="E72" i="31"/>
  <c r="E73" i="31" s="1"/>
  <c r="F149" i="45"/>
  <c r="B149" i="45"/>
  <c r="H150" i="13"/>
  <c r="I150" i="13"/>
  <c r="G69" i="37"/>
  <c r="I69" i="37" s="1"/>
  <c r="H149" i="44"/>
  <c r="I149" i="44"/>
  <c r="D69" i="42"/>
  <c r="E69" i="42" s="1"/>
  <c r="H69" i="40"/>
  <c r="D71" i="39"/>
  <c r="E71" i="39" s="1"/>
  <c r="H148" i="43"/>
  <c r="I148" i="43"/>
  <c r="H68" i="42"/>
  <c r="I68" i="42" s="1"/>
  <c r="G69" i="40"/>
  <c r="G68" i="45"/>
  <c r="I68" i="45" s="1"/>
  <c r="G70" i="39"/>
  <c r="I70" i="39" s="1"/>
  <c r="F149" i="43"/>
  <c r="B149" i="43"/>
  <c r="F149" i="41"/>
  <c r="B149" i="41"/>
  <c r="B151" i="13"/>
  <c r="F151" i="13"/>
  <c r="D71" i="13"/>
  <c r="E71" i="13" s="1"/>
  <c r="H148" i="41"/>
  <c r="I148" i="41"/>
  <c r="G71" i="46" l="1"/>
  <c r="H149" i="42"/>
  <c r="I149" i="42"/>
  <c r="B150" i="42"/>
  <c r="E150" i="42"/>
  <c r="F150" i="42" s="1"/>
  <c r="I150" i="46"/>
  <c r="H150" i="46"/>
  <c r="E151" i="46"/>
  <c r="F151" i="46" s="1"/>
  <c r="B151" i="46"/>
  <c r="I72" i="28"/>
  <c r="I73" i="28" s="1"/>
  <c r="I71" i="46"/>
  <c r="D72" i="46"/>
  <c r="E72" i="46" s="1"/>
  <c r="E73" i="46" s="1"/>
  <c r="F72" i="31"/>
  <c r="H72" i="31" s="1"/>
  <c r="I69" i="40"/>
  <c r="I69" i="41"/>
  <c r="E70" i="44"/>
  <c r="F70" i="44" s="1"/>
  <c r="I69" i="44"/>
  <c r="G153" i="27"/>
  <c r="D154" i="27"/>
  <c r="E154" i="27" s="1"/>
  <c r="E155" i="27" s="1"/>
  <c r="D150" i="40"/>
  <c r="E150" i="40" s="1"/>
  <c r="G149" i="40"/>
  <c r="B150" i="37"/>
  <c r="F150" i="37"/>
  <c r="F154" i="29"/>
  <c r="G154" i="29" s="1"/>
  <c r="H154" i="29" s="1"/>
  <c r="H155" i="29" s="1"/>
  <c r="J152" i="27"/>
  <c r="H149" i="38"/>
  <c r="I149" i="38"/>
  <c r="F154" i="24"/>
  <c r="G154" i="24" s="1"/>
  <c r="E152" i="30"/>
  <c r="F152" i="30" s="1"/>
  <c r="B150" i="38"/>
  <c r="F150" i="38"/>
  <c r="I152" i="28"/>
  <c r="H152" i="28"/>
  <c r="E153" i="28"/>
  <c r="F153" i="28" s="1"/>
  <c r="B153" i="28"/>
  <c r="I149" i="37"/>
  <c r="H149" i="37"/>
  <c r="H151" i="30"/>
  <c r="I151" i="30"/>
  <c r="J152" i="31"/>
  <c r="J153" i="29"/>
  <c r="H73" i="31"/>
  <c r="B72" i="30"/>
  <c r="G153" i="31"/>
  <c r="D154" i="31"/>
  <c r="D151" i="44"/>
  <c r="E151" i="44" s="1"/>
  <c r="G150" i="44"/>
  <c r="B150" i="39"/>
  <c r="E150" i="39"/>
  <c r="F150" i="39" s="1"/>
  <c r="B69" i="45"/>
  <c r="F69" i="45"/>
  <c r="G69" i="45" s="1"/>
  <c r="H149" i="39"/>
  <c r="I149" i="39"/>
  <c r="F70" i="43"/>
  <c r="H70" i="43" s="1"/>
  <c r="B70" i="43"/>
  <c r="I69" i="38"/>
  <c r="D150" i="43"/>
  <c r="E150" i="43" s="1"/>
  <c r="G149" i="43"/>
  <c r="F69" i="42"/>
  <c r="G69" i="42" s="1"/>
  <c r="B69" i="42"/>
  <c r="F70" i="37"/>
  <c r="G70" i="37" s="1"/>
  <c r="B70" i="37"/>
  <c r="B71" i="13"/>
  <c r="F71" i="13"/>
  <c r="H71" i="13" s="1"/>
  <c r="G151" i="13"/>
  <c r="D152" i="13"/>
  <c r="E152" i="13" s="1"/>
  <c r="G149" i="45"/>
  <c r="D150" i="45"/>
  <c r="D150" i="41"/>
  <c r="G149" i="41"/>
  <c r="I71" i="30"/>
  <c r="F70" i="38"/>
  <c r="H70" i="38" s="1"/>
  <c r="B70" i="38"/>
  <c r="B71" i="39"/>
  <c r="F71" i="39"/>
  <c r="B70" i="40"/>
  <c r="F70" i="40"/>
  <c r="H70" i="40" s="1"/>
  <c r="F70" i="41"/>
  <c r="H70" i="41" s="1"/>
  <c r="B70" i="41"/>
  <c r="E72" i="30"/>
  <c r="E73" i="30" s="1"/>
  <c r="D151" i="42" l="1"/>
  <c r="G150" i="42"/>
  <c r="G70" i="43"/>
  <c r="G151" i="46"/>
  <c r="D152" i="46"/>
  <c r="G72" i="31"/>
  <c r="G73" i="31" s="1"/>
  <c r="F72" i="46"/>
  <c r="H72" i="46" s="1"/>
  <c r="B72" i="46"/>
  <c r="I154" i="29"/>
  <c r="I155" i="29" s="1"/>
  <c r="G70" i="40"/>
  <c r="I70" i="40" s="1"/>
  <c r="I70" i="43"/>
  <c r="H69" i="42"/>
  <c r="I69" i="42" s="1"/>
  <c r="H69" i="45"/>
  <c r="I69" i="45" s="1"/>
  <c r="H70" i="37"/>
  <c r="I70" i="37" s="1"/>
  <c r="D71" i="44"/>
  <c r="G70" i="44"/>
  <c r="H70" i="44"/>
  <c r="G153" i="28"/>
  <c r="D154" i="28"/>
  <c r="D151" i="37"/>
  <c r="G150" i="37"/>
  <c r="G152" i="30"/>
  <c r="D153" i="30"/>
  <c r="E153" i="30" s="1"/>
  <c r="J151" i="30"/>
  <c r="J152" i="28"/>
  <c r="I154" i="24"/>
  <c r="I155" i="24" s="1"/>
  <c r="H154" i="24"/>
  <c r="H155" i="24" s="1"/>
  <c r="I149" i="40"/>
  <c r="H149" i="40"/>
  <c r="B154" i="27"/>
  <c r="F154" i="27"/>
  <c r="G154" i="27" s="1"/>
  <c r="D151" i="38"/>
  <c r="G150" i="38"/>
  <c r="F150" i="40"/>
  <c r="B150" i="40"/>
  <c r="I153" i="27"/>
  <c r="H153" i="27"/>
  <c r="J154" i="29"/>
  <c r="J155" i="29" s="1"/>
  <c r="D151" i="39"/>
  <c r="E151" i="39" s="1"/>
  <c r="G150" i="39"/>
  <c r="H149" i="41"/>
  <c r="I149" i="41"/>
  <c r="B154" i="31"/>
  <c r="F72" i="30"/>
  <c r="B150" i="41"/>
  <c r="D72" i="13"/>
  <c r="H153" i="31"/>
  <c r="I153" i="31"/>
  <c r="E154" i="31"/>
  <c r="E155" i="31" s="1"/>
  <c r="B150" i="45"/>
  <c r="D70" i="42"/>
  <c r="E70" i="42" s="1"/>
  <c r="E150" i="45"/>
  <c r="F150" i="45" s="1"/>
  <c r="D71" i="40"/>
  <c r="E71" i="40" s="1"/>
  <c r="D71" i="38"/>
  <c r="E71" i="38" s="1"/>
  <c r="H149" i="45"/>
  <c r="I149" i="45"/>
  <c r="G70" i="38"/>
  <c r="I70" i="38" s="1"/>
  <c r="I149" i="43"/>
  <c r="H149" i="43"/>
  <c r="I150" i="44"/>
  <c r="H150" i="44"/>
  <c r="D72" i="39"/>
  <c r="E72" i="39" s="1"/>
  <c r="E73" i="39" s="1"/>
  <c r="G71" i="13"/>
  <c r="I71" i="13" s="1"/>
  <c r="G71" i="39"/>
  <c r="F152" i="13"/>
  <c r="B152" i="13"/>
  <c r="D71" i="37"/>
  <c r="E71" i="37" s="1"/>
  <c r="B150" i="43"/>
  <c r="F150" i="43"/>
  <c r="D71" i="43"/>
  <c r="E71" i="43" s="1"/>
  <c r="D70" i="45"/>
  <c r="E70" i="45" s="1"/>
  <c r="D71" i="41"/>
  <c r="E71" i="41" s="1"/>
  <c r="G70" i="41"/>
  <c r="I70" i="41" s="1"/>
  <c r="H71" i="39"/>
  <c r="E150" i="41"/>
  <c r="F150" i="41" s="1"/>
  <c r="H151" i="13"/>
  <c r="I151" i="13"/>
  <c r="F151" i="44"/>
  <c r="B151" i="44"/>
  <c r="I72" i="31"/>
  <c r="I73" i="31" s="1"/>
  <c r="I150" i="42" l="1"/>
  <c r="H150" i="42"/>
  <c r="B151" i="42"/>
  <c r="E151" i="42"/>
  <c r="F151" i="42" s="1"/>
  <c r="E152" i="46"/>
  <c r="F152" i="46"/>
  <c r="B152" i="46"/>
  <c r="I151" i="46"/>
  <c r="H151" i="46"/>
  <c r="H73" i="46"/>
  <c r="G72" i="46"/>
  <c r="G73" i="46" s="1"/>
  <c r="I71" i="39"/>
  <c r="B71" i="44"/>
  <c r="E71" i="44"/>
  <c r="F71" i="44" s="1"/>
  <c r="I70" i="44"/>
  <c r="J153" i="31"/>
  <c r="H150" i="38"/>
  <c r="I150" i="38"/>
  <c r="B151" i="37"/>
  <c r="J153" i="27"/>
  <c r="E151" i="38"/>
  <c r="F151" i="38" s="1"/>
  <c r="B151" i="38"/>
  <c r="H152" i="30"/>
  <c r="I152" i="30"/>
  <c r="B154" i="28"/>
  <c r="H154" i="27"/>
  <c r="H155" i="27" s="1"/>
  <c r="I154" i="27"/>
  <c r="E151" i="37"/>
  <c r="F151" i="37" s="1"/>
  <c r="E154" i="28"/>
  <c r="E155" i="28" s="1"/>
  <c r="D151" i="40"/>
  <c r="G150" i="40"/>
  <c r="B153" i="30"/>
  <c r="F153" i="30"/>
  <c r="I150" i="37"/>
  <c r="H150" i="37"/>
  <c r="H153" i="28"/>
  <c r="I153" i="28"/>
  <c r="F154" i="31"/>
  <c r="G154" i="31" s="1"/>
  <c r="H154" i="31" s="1"/>
  <c r="H155" i="31" s="1"/>
  <c r="D151" i="41"/>
  <c r="E151" i="41" s="1"/>
  <c r="G150" i="41"/>
  <c r="D151" i="45"/>
  <c r="E151" i="45" s="1"/>
  <c r="G150" i="45"/>
  <c r="B71" i="38"/>
  <c r="F71" i="38"/>
  <c r="G71" i="38" s="1"/>
  <c r="B70" i="42"/>
  <c r="F70" i="42"/>
  <c r="B72" i="13"/>
  <c r="F71" i="40"/>
  <c r="G71" i="40" s="1"/>
  <c r="B71" i="40"/>
  <c r="B71" i="43"/>
  <c r="F71" i="43"/>
  <c r="H71" i="43" s="1"/>
  <c r="E72" i="13"/>
  <c r="E73" i="13" s="1"/>
  <c r="H150" i="39"/>
  <c r="I150" i="39"/>
  <c r="F70" i="45"/>
  <c r="G70" i="45" s="1"/>
  <c r="B70" i="45"/>
  <c r="F71" i="41"/>
  <c r="G71" i="41" s="1"/>
  <c r="B71" i="41"/>
  <c r="D151" i="43"/>
  <c r="E151" i="43" s="1"/>
  <c r="G150" i="43"/>
  <c r="B71" i="37"/>
  <c r="F71" i="37"/>
  <c r="G71" i="37" s="1"/>
  <c r="G152" i="13"/>
  <c r="D153" i="13"/>
  <c r="G151" i="44"/>
  <c r="D152" i="44"/>
  <c r="E152" i="44" s="1"/>
  <c r="B72" i="39"/>
  <c r="F72" i="39"/>
  <c r="G72" i="39" s="1"/>
  <c r="G73" i="39" s="1"/>
  <c r="G72" i="30"/>
  <c r="G73" i="30" s="1"/>
  <c r="H72" i="30"/>
  <c r="B151" i="39"/>
  <c r="F151" i="39"/>
  <c r="D152" i="42" l="1"/>
  <c r="G151" i="42"/>
  <c r="H71" i="40"/>
  <c r="I71" i="40" s="1"/>
  <c r="D153" i="46"/>
  <c r="B153" i="46" s="1"/>
  <c r="G152" i="46"/>
  <c r="I72" i="46"/>
  <c r="I73" i="46" s="1"/>
  <c r="H71" i="41"/>
  <c r="I71" i="41" s="1"/>
  <c r="H70" i="45"/>
  <c r="I70" i="45" s="1"/>
  <c r="G71" i="43"/>
  <c r="I71" i="43" s="1"/>
  <c r="H72" i="39"/>
  <c r="H73" i="39" s="1"/>
  <c r="D72" i="44"/>
  <c r="E72" i="44" s="1"/>
  <c r="E73" i="44" s="1"/>
  <c r="H71" i="44"/>
  <c r="G71" i="44"/>
  <c r="F72" i="13"/>
  <c r="G151" i="38"/>
  <c r="D152" i="38"/>
  <c r="G151" i="37"/>
  <c r="D152" i="37"/>
  <c r="B152" i="37" s="1"/>
  <c r="I154" i="31"/>
  <c r="H150" i="40"/>
  <c r="I150" i="40"/>
  <c r="J154" i="27"/>
  <c r="J155" i="27" s="1"/>
  <c r="J152" i="30"/>
  <c r="J153" i="28"/>
  <c r="G153" i="30"/>
  <c r="D154" i="30"/>
  <c r="B151" i="40"/>
  <c r="I155" i="27"/>
  <c r="F154" i="28"/>
  <c r="G154" i="28" s="1"/>
  <c r="E151" i="40"/>
  <c r="F151" i="40" s="1"/>
  <c r="D72" i="37"/>
  <c r="D72" i="41"/>
  <c r="I72" i="30"/>
  <c r="I73" i="30" s="1"/>
  <c r="H73" i="30"/>
  <c r="B153" i="13"/>
  <c r="D71" i="42"/>
  <c r="F152" i="44"/>
  <c r="B152" i="44"/>
  <c r="E153" i="13"/>
  <c r="F153" i="13" s="1"/>
  <c r="I150" i="43"/>
  <c r="H150" i="43"/>
  <c r="J154" i="31"/>
  <c r="J155" i="31" s="1"/>
  <c r="I155" i="31"/>
  <c r="I150" i="45"/>
  <c r="H150" i="45"/>
  <c r="H151" i="44"/>
  <c r="I151" i="44"/>
  <c r="I152" i="13"/>
  <c r="H152" i="13"/>
  <c r="B151" i="43"/>
  <c r="F151" i="43"/>
  <c r="D71" i="45"/>
  <c r="D72" i="40"/>
  <c r="E72" i="40" s="1"/>
  <c r="E73" i="40" s="1"/>
  <c r="H70" i="42"/>
  <c r="D72" i="38"/>
  <c r="F151" i="45"/>
  <c r="B151" i="45"/>
  <c r="I150" i="41"/>
  <c r="H150" i="41"/>
  <c r="G151" i="39"/>
  <c r="D152" i="39"/>
  <c r="H71" i="37"/>
  <c r="I71" i="37" s="1"/>
  <c r="D72" i="43"/>
  <c r="E72" i="43" s="1"/>
  <c r="E73" i="43" s="1"/>
  <c r="G70" i="42"/>
  <c r="H71" i="38"/>
  <c r="I71" i="38" s="1"/>
  <c r="B151" i="41"/>
  <c r="F151" i="41"/>
  <c r="E153" i="46" l="1"/>
  <c r="F153" i="46" s="1"/>
  <c r="H151" i="42"/>
  <c r="I151" i="42"/>
  <c r="E152" i="42"/>
  <c r="F152" i="42" s="1"/>
  <c r="B152" i="42"/>
  <c r="G153" i="46"/>
  <c r="D154" i="46"/>
  <c r="I152" i="46"/>
  <c r="H152" i="46"/>
  <c r="I72" i="39"/>
  <c r="I73" i="39" s="1"/>
  <c r="I70" i="42"/>
  <c r="I71" i="44"/>
  <c r="G72" i="13"/>
  <c r="G73" i="13" s="1"/>
  <c r="H72" i="13"/>
  <c r="F72" i="44"/>
  <c r="H72" i="44" s="1"/>
  <c r="B72" i="44"/>
  <c r="G151" i="40"/>
  <c r="D152" i="40"/>
  <c r="B152" i="40" s="1"/>
  <c r="I151" i="37"/>
  <c r="H151" i="37"/>
  <c r="I154" i="28"/>
  <c r="H154" i="28"/>
  <c r="H155" i="28" s="1"/>
  <c r="E154" i="30"/>
  <c r="E155" i="30" s="1"/>
  <c r="B154" i="30"/>
  <c r="E152" i="38"/>
  <c r="F152" i="38" s="1"/>
  <c r="B152" i="38"/>
  <c r="H153" i="30"/>
  <c r="I153" i="30"/>
  <c r="E152" i="37"/>
  <c r="F152" i="37" s="1"/>
  <c r="H151" i="38"/>
  <c r="I151" i="38"/>
  <c r="D153" i="44"/>
  <c r="E153" i="44" s="1"/>
  <c r="G152" i="44"/>
  <c r="D154" i="13"/>
  <c r="E154" i="13" s="1"/>
  <c r="E155" i="13" s="1"/>
  <c r="G153" i="13"/>
  <c r="B152" i="39"/>
  <c r="B72" i="41"/>
  <c r="B71" i="42"/>
  <c r="E72" i="41"/>
  <c r="E73" i="41" s="1"/>
  <c r="B72" i="38"/>
  <c r="H151" i="39"/>
  <c r="I151" i="39"/>
  <c r="B71" i="45"/>
  <c r="E71" i="42"/>
  <c r="F71" i="42" s="1"/>
  <c r="B72" i="37"/>
  <c r="E71" i="45"/>
  <c r="F71" i="45" s="1"/>
  <c r="E72" i="37"/>
  <c r="E73" i="37" s="1"/>
  <c r="B72" i="40"/>
  <c r="F72" i="40"/>
  <c r="G72" i="40" s="1"/>
  <c r="G73" i="40" s="1"/>
  <c r="F72" i="43"/>
  <c r="G72" i="43" s="1"/>
  <c r="G73" i="43" s="1"/>
  <c r="B72" i="43"/>
  <c r="G151" i="45"/>
  <c r="D152" i="45"/>
  <c r="E152" i="45" s="1"/>
  <c r="D152" i="43"/>
  <c r="E152" i="43" s="1"/>
  <c r="G151" i="43"/>
  <c r="E152" i="39"/>
  <c r="F152" i="39" s="1"/>
  <c r="G151" i="41"/>
  <c r="D152" i="41"/>
  <c r="E152" i="41" s="1"/>
  <c r="E72" i="38"/>
  <c r="E73" i="38" s="1"/>
  <c r="D153" i="42" l="1"/>
  <c r="G152" i="42"/>
  <c r="H72" i="40"/>
  <c r="G72" i="44"/>
  <c r="G73" i="44" s="1"/>
  <c r="E154" i="46"/>
  <c r="E155" i="46" s="1"/>
  <c r="B154" i="46"/>
  <c r="H153" i="46"/>
  <c r="I153" i="46"/>
  <c r="H73" i="44"/>
  <c r="I72" i="13"/>
  <c r="I73" i="13" s="1"/>
  <c r="H73" i="13"/>
  <c r="H72" i="43"/>
  <c r="I72" i="43" s="1"/>
  <c r="I73" i="43" s="1"/>
  <c r="G152" i="37"/>
  <c r="D153" i="37"/>
  <c r="D153" i="38"/>
  <c r="B153" i="38" s="1"/>
  <c r="G152" i="38"/>
  <c r="J153" i="30"/>
  <c r="E152" i="40"/>
  <c r="F152" i="40" s="1"/>
  <c r="J154" i="28"/>
  <c r="J155" i="28" s="1"/>
  <c r="I155" i="28"/>
  <c r="F154" i="30"/>
  <c r="G154" i="30" s="1"/>
  <c r="H151" i="40"/>
  <c r="I151" i="40"/>
  <c r="D153" i="39"/>
  <c r="E153" i="39" s="1"/>
  <c r="G152" i="39"/>
  <c r="D72" i="45"/>
  <c r="E72" i="45" s="1"/>
  <c r="E73" i="45" s="1"/>
  <c r="G71" i="45"/>
  <c r="H71" i="45"/>
  <c r="B154" i="13"/>
  <c r="F154" i="13"/>
  <c r="G154" i="13" s="1"/>
  <c r="I72" i="40"/>
  <c r="I73" i="40" s="1"/>
  <c r="H73" i="40"/>
  <c r="F72" i="37"/>
  <c r="D72" i="42"/>
  <c r="I152" i="44"/>
  <c r="H152" i="44"/>
  <c r="F152" i="43"/>
  <c r="B152" i="43"/>
  <c r="H71" i="42"/>
  <c r="B153" i="44"/>
  <c r="F153" i="44"/>
  <c r="B152" i="45"/>
  <c r="F152" i="45"/>
  <c r="I151" i="45"/>
  <c r="H151" i="45"/>
  <c r="F72" i="38"/>
  <c r="G71" i="42"/>
  <c r="I151" i="41"/>
  <c r="H151" i="41"/>
  <c r="F72" i="41"/>
  <c r="I151" i="43"/>
  <c r="H151" i="43"/>
  <c r="B152" i="41"/>
  <c r="F152" i="41"/>
  <c r="I153" i="13"/>
  <c r="H153" i="13"/>
  <c r="H73" i="43" l="1"/>
  <c r="F154" i="46"/>
  <c r="G154" i="46" s="1"/>
  <c r="H152" i="42"/>
  <c r="I152" i="42"/>
  <c r="E153" i="42"/>
  <c r="F153" i="42" s="1"/>
  <c r="B153" i="42"/>
  <c r="I72" i="44"/>
  <c r="I73" i="44" s="1"/>
  <c r="H154" i="46"/>
  <c r="H155" i="46" s="1"/>
  <c r="I154" i="46"/>
  <c r="I155" i="46" s="1"/>
  <c r="I71" i="45"/>
  <c r="I71" i="42"/>
  <c r="G152" i="40"/>
  <c r="D153" i="40"/>
  <c r="B153" i="40" s="1"/>
  <c r="I152" i="38"/>
  <c r="H152" i="38"/>
  <c r="H154" i="30"/>
  <c r="H155" i="30" s="1"/>
  <c r="I154" i="30"/>
  <c r="E153" i="37"/>
  <c r="F153" i="37" s="1"/>
  <c r="B153" i="37"/>
  <c r="E153" i="38"/>
  <c r="F153" i="38" s="1"/>
  <c r="I152" i="37"/>
  <c r="H152" i="37"/>
  <c r="B72" i="42"/>
  <c r="G72" i="37"/>
  <c r="G73" i="37" s="1"/>
  <c r="H72" i="37"/>
  <c r="G152" i="41"/>
  <c r="D153" i="41"/>
  <c r="E153" i="41" s="1"/>
  <c r="D153" i="43"/>
  <c r="E153" i="43" s="1"/>
  <c r="G152" i="43"/>
  <c r="G153" i="44"/>
  <c r="D154" i="44"/>
  <c r="H154" i="13"/>
  <c r="H155" i="13" s="1"/>
  <c r="I154" i="13"/>
  <c r="I155" i="13" s="1"/>
  <c r="B72" i="45"/>
  <c r="F72" i="45"/>
  <c r="G72" i="45" s="1"/>
  <c r="G73" i="45" s="1"/>
  <c r="H152" i="39"/>
  <c r="I152" i="39"/>
  <c r="H72" i="41"/>
  <c r="G72" i="41"/>
  <c r="G73" i="41" s="1"/>
  <c r="D153" i="45"/>
  <c r="E153" i="45" s="1"/>
  <c r="G152" i="45"/>
  <c r="H72" i="38"/>
  <c r="G72" i="38"/>
  <c r="G73" i="38" s="1"/>
  <c r="E72" i="42"/>
  <c r="E73" i="42" s="1"/>
  <c r="B153" i="39"/>
  <c r="F153" i="39"/>
  <c r="G153" i="42" l="1"/>
  <c r="D154" i="42"/>
  <c r="B154" i="42" s="1"/>
  <c r="H72" i="45"/>
  <c r="I72" i="45" s="1"/>
  <c r="I73" i="45" s="1"/>
  <c r="G153" i="37"/>
  <c r="D154" i="37"/>
  <c r="G153" i="38"/>
  <c r="D154" i="38"/>
  <c r="J154" i="30"/>
  <c r="J155" i="30" s="1"/>
  <c r="I155" i="30"/>
  <c r="E153" i="40"/>
  <c r="F153" i="40" s="1"/>
  <c r="H152" i="40"/>
  <c r="I152" i="40"/>
  <c r="H152" i="43"/>
  <c r="I152" i="43"/>
  <c r="I72" i="41"/>
  <c r="I73" i="41" s="1"/>
  <c r="H73" i="41"/>
  <c r="B153" i="43"/>
  <c r="F153" i="43"/>
  <c r="H153" i="44"/>
  <c r="I153" i="44"/>
  <c r="H152" i="45"/>
  <c r="I152" i="45"/>
  <c r="I72" i="37"/>
  <c r="I73" i="37" s="1"/>
  <c r="H73" i="37"/>
  <c r="I72" i="38"/>
  <c r="I73" i="38" s="1"/>
  <c r="H73" i="38"/>
  <c r="B153" i="45"/>
  <c r="F153" i="45"/>
  <c r="B153" i="41"/>
  <c r="F153" i="41"/>
  <c r="B154" i="44"/>
  <c r="D154" i="39"/>
  <c r="G153" i="39"/>
  <c r="E154" i="44"/>
  <c r="E155" i="44" s="1"/>
  <c r="H152" i="41"/>
  <c r="I152" i="41"/>
  <c r="F72" i="42"/>
  <c r="H73" i="45" l="1"/>
  <c r="E154" i="42"/>
  <c r="I153" i="42"/>
  <c r="H153" i="42"/>
  <c r="D154" i="40"/>
  <c r="G153" i="40"/>
  <c r="B154" i="38"/>
  <c r="I153" i="38"/>
  <c r="H153" i="38"/>
  <c r="E154" i="37"/>
  <c r="E155" i="37" s="1"/>
  <c r="B154" i="37"/>
  <c r="E154" i="38"/>
  <c r="E155" i="38" s="1"/>
  <c r="H153" i="37"/>
  <c r="I153" i="37"/>
  <c r="F154" i="44"/>
  <c r="G154" i="44" s="1"/>
  <c r="I154" i="44" s="1"/>
  <c r="I155" i="44" s="1"/>
  <c r="D154" i="43"/>
  <c r="E154" i="43" s="1"/>
  <c r="E155" i="43" s="1"/>
  <c r="G153" i="43"/>
  <c r="B154" i="39"/>
  <c r="G153" i="41"/>
  <c r="D154" i="41"/>
  <c r="E154" i="41" s="1"/>
  <c r="E155" i="41" s="1"/>
  <c r="G153" i="45"/>
  <c r="D154" i="45"/>
  <c r="E154" i="45" s="1"/>
  <c r="E155" i="45" s="1"/>
  <c r="H72" i="42"/>
  <c r="G72" i="42"/>
  <c r="G73" i="42" s="1"/>
  <c r="E154" i="39"/>
  <c r="E155" i="39" s="1"/>
  <c r="H153" i="39"/>
  <c r="I153" i="39"/>
  <c r="E155" i="42" l="1"/>
  <c r="F154" i="42"/>
  <c r="G154" i="42" s="1"/>
  <c r="H154" i="44"/>
  <c r="H155" i="44" s="1"/>
  <c r="F154" i="38"/>
  <c r="G154" i="38" s="1"/>
  <c r="H153" i="40"/>
  <c r="I153" i="40"/>
  <c r="F154" i="37"/>
  <c r="G154" i="37" s="1"/>
  <c r="E154" i="40"/>
  <c r="E155" i="40" s="1"/>
  <c r="B154" i="40"/>
  <c r="F154" i="39"/>
  <c r="G154" i="39" s="1"/>
  <c r="H154" i="39" s="1"/>
  <c r="H155" i="39" s="1"/>
  <c r="I153" i="41"/>
  <c r="H153" i="41"/>
  <c r="H153" i="45"/>
  <c r="I153" i="45"/>
  <c r="F154" i="45"/>
  <c r="G154" i="45" s="1"/>
  <c r="B154" i="45"/>
  <c r="H153" i="43"/>
  <c r="I153" i="43"/>
  <c r="I72" i="42"/>
  <c r="I73" i="42" s="1"/>
  <c r="H73" i="42"/>
  <c r="F154" i="41"/>
  <c r="G154" i="41" s="1"/>
  <c r="B154" i="41"/>
  <c r="F154" i="43"/>
  <c r="G154" i="43" s="1"/>
  <c r="B154" i="43"/>
  <c r="I154" i="42" l="1"/>
  <c r="I155" i="42" s="1"/>
  <c r="H154" i="42"/>
  <c r="H155" i="42" s="1"/>
  <c r="I154" i="39"/>
  <c r="I155" i="39" s="1"/>
  <c r="F154" i="40"/>
  <c r="G154" i="40" s="1"/>
  <c r="H154" i="40" s="1"/>
  <c r="H155" i="40" s="1"/>
  <c r="H154" i="37"/>
  <c r="H155" i="37" s="1"/>
  <c r="I154" i="37"/>
  <c r="I155" i="37" s="1"/>
  <c r="I154" i="38"/>
  <c r="I155" i="38" s="1"/>
  <c r="H154" i="38"/>
  <c r="H155" i="38" s="1"/>
  <c r="I154" i="41"/>
  <c r="I155" i="41" s="1"/>
  <c r="H154" i="41"/>
  <c r="H155" i="41" s="1"/>
  <c r="H154" i="43"/>
  <c r="H155" i="43" s="1"/>
  <c r="I154" i="43"/>
  <c r="I155" i="43" s="1"/>
  <c r="H154" i="45"/>
  <c r="H155" i="45" s="1"/>
  <c r="I154" i="45"/>
  <c r="I155" i="45" s="1"/>
  <c r="I154" i="40" l="1"/>
  <c r="I155" i="40" s="1"/>
  <c r="L18" i="17"/>
  <c r="V18" i="17" s="1"/>
  <c r="V47" i="17" l="1"/>
  <c r="Q45" i="17" s="1"/>
  <c r="R45" i="17" s="1"/>
  <c r="T45" i="17" s="1"/>
  <c r="L47" i="17"/>
  <c r="Q26" i="17" l="1"/>
  <c r="R26" i="17" s="1"/>
  <c r="T26" i="17" s="1"/>
  <c r="Q27" i="17"/>
  <c r="R27" i="17" s="1"/>
  <c r="T27" i="17" s="1"/>
  <c r="Q21" i="17"/>
  <c r="R21" i="17" s="1"/>
  <c r="T21" i="17" s="1"/>
  <c r="Q35" i="17"/>
  <c r="R35" i="17" s="1"/>
  <c r="T35" i="17" s="1"/>
  <c r="Q19" i="17"/>
  <c r="R19" i="17" s="1"/>
  <c r="T19" i="17" s="1"/>
  <c r="Q37" i="17"/>
  <c r="R37" i="17" s="1"/>
  <c r="T37" i="17" s="1"/>
  <c r="Q44" i="17"/>
  <c r="R44" i="17" s="1"/>
  <c r="T44" i="17" s="1"/>
  <c r="Q20" i="17"/>
  <c r="R20" i="17" s="1"/>
  <c r="T20" i="17" s="1"/>
  <c r="Q33" i="17"/>
  <c r="R33" i="17" s="1"/>
  <c r="T33" i="17" s="1"/>
  <c r="Q36" i="17"/>
  <c r="R36" i="17" s="1"/>
  <c r="T36" i="17" s="1"/>
  <c r="Q25" i="17"/>
  <c r="R25" i="17" s="1"/>
  <c r="T25" i="17" s="1"/>
  <c r="Q34" i="17"/>
  <c r="R34" i="17" s="1"/>
  <c r="T34" i="17" s="1"/>
  <c r="Q39" i="17"/>
  <c r="R39" i="17" s="1"/>
  <c r="T39" i="17" s="1"/>
  <c r="Q43" i="17"/>
  <c r="R43" i="17" s="1"/>
  <c r="T43" i="17" s="1"/>
  <c r="Q30" i="17"/>
  <c r="R30" i="17" s="1"/>
  <c r="T30" i="17" s="1"/>
  <c r="Q29" i="17"/>
  <c r="R29" i="17" s="1"/>
  <c r="T29" i="17" s="1"/>
  <c r="Q41" i="17"/>
  <c r="R41" i="17" s="1"/>
  <c r="T41" i="17" s="1"/>
  <c r="Q31" i="17"/>
  <c r="R31" i="17" s="1"/>
  <c r="T31" i="17" s="1"/>
  <c r="Q40" i="17"/>
  <c r="R40" i="17" s="1"/>
  <c r="T40" i="17" s="1"/>
  <c r="Q32" i="17"/>
  <c r="R32" i="17" s="1"/>
  <c r="T32" i="17" s="1"/>
  <c r="Q38" i="17"/>
  <c r="R38" i="17" s="1"/>
  <c r="T38" i="17" s="1"/>
  <c r="Q28" i="17"/>
  <c r="R28" i="17" s="1"/>
  <c r="T28" i="17" s="1"/>
  <c r="Q23" i="17"/>
  <c r="R23" i="17" s="1"/>
  <c r="T23" i="17" s="1"/>
  <c r="Q42" i="17"/>
  <c r="R42" i="17" s="1"/>
  <c r="T42" i="17" s="1"/>
  <c r="Q22" i="17"/>
  <c r="R22" i="17" s="1"/>
  <c r="T22" i="17" s="1"/>
  <c r="Q24" i="17"/>
  <c r="R24" i="17" s="1"/>
  <c r="T24" i="17" s="1"/>
  <c r="Q18" i="17"/>
  <c r="Q48" i="17" l="1"/>
  <c r="R18" i="17"/>
  <c r="R47" i="17" l="1"/>
  <c r="T18" i="17"/>
  <c r="T47" i="17" s="1"/>
</calcChain>
</file>

<file path=xl/comments1.xml><?xml version="1.0" encoding="utf-8"?>
<comments xmlns="http://schemas.openxmlformats.org/spreadsheetml/2006/main">
  <authors>
    <author>R.Pennybaker</author>
    <author>AEP</author>
    <author>rlp</author>
  </authors>
  <commentList>
    <comment ref="C16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Project Descriptions are in cell [P.xxx]!$D$7]</t>
        </r>
      </text>
    </comment>
    <comment ref="D16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Year In Service is in cell [P.xxx]!$D$11]</t>
        </r>
      </text>
    </comment>
    <comment ref="E16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Projected Base ARR is in cell [P.xxx]!$N$5]</t>
        </r>
      </text>
    </comment>
    <comment ref="F16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Projected Incentive ARR is in WS-F cell N7.</t>
        </r>
      </text>
    </comment>
    <comment ref="I16" authorId="1" shapeId="0">
      <text>
        <r>
          <rPr>
            <b/>
            <sz val="8"/>
            <color indexed="81"/>
            <rFont val="Tahoma"/>
            <family val="2"/>
          </rPr>
          <t>AEP:</t>
        </r>
        <r>
          <rPr>
            <sz val="8"/>
            <color indexed="81"/>
            <rFont val="Tahoma"/>
            <family val="2"/>
          </rPr>
          <t xml:space="preserve">
"TRUE-UP Adjustment (i.e., Forecast Error) is from WS-G sheet [P.00x] in cell M89.</t>
        </r>
      </text>
    </comment>
    <comment ref="J16" authorId="1" shapeId="0">
      <text>
        <r>
          <rPr>
            <b/>
            <sz val="8"/>
            <color indexed="81"/>
            <rFont val="Tahoma"/>
            <family val="2"/>
          </rPr>
          <t>AEP:</t>
        </r>
        <r>
          <rPr>
            <sz val="8"/>
            <color indexed="81"/>
            <rFont val="Tahoma"/>
            <family val="2"/>
          </rPr>
          <t xml:space="preserve">
"Manually input from previous year's update "</t>
        </r>
        <r>
          <rPr>
            <i/>
            <sz val="8"/>
            <color indexed="81"/>
            <rFont val="Tahoma"/>
            <family val="2"/>
          </rPr>
          <t>Schedule 11 Rates by Project</t>
        </r>
        <r>
          <rPr>
            <sz val="8"/>
            <color indexed="81"/>
            <rFont val="Tahoma"/>
            <family val="2"/>
          </rPr>
          <t>" sheet column Q.</t>
        </r>
      </text>
    </comment>
    <comment ref="K16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These values reflect SPP remittance to AEP of Schedule 11 revenues for prior Calendar Year T-service transactions.</t>
        </r>
      </text>
    </comment>
    <comment ref="L16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This can also be referred to as the Billing Error.</t>
        </r>
      </text>
    </comment>
    <comment ref="N16" authorId="1" shapeId="0">
      <text>
        <r>
          <rPr>
            <b/>
            <sz val="8"/>
            <color indexed="81"/>
            <rFont val="Tahoma"/>
            <family val="2"/>
          </rPr>
          <t>AEP:</t>
        </r>
        <r>
          <rPr>
            <sz val="8"/>
            <color indexed="81"/>
            <rFont val="Tahoma"/>
            <family val="2"/>
          </rPr>
          <t xml:space="preserve">
This is "Prior Year True-Up (WS-G)"; and "Incentive Amounts" O88</t>
        </r>
      </text>
    </comment>
    <comment ref="O16" authorId="1" shapeId="0">
      <text>
        <r>
          <rPr>
            <b/>
            <sz val="8"/>
            <color indexed="81"/>
            <rFont val="Tahoma"/>
            <family val="2"/>
          </rPr>
          <t>AEP:</t>
        </r>
        <r>
          <rPr>
            <sz val="8"/>
            <color indexed="81"/>
            <rFont val="Tahoma"/>
            <family val="2"/>
          </rPr>
          <t xml:space="preserve">
Prior Year Projected (WS-F) and Incentive Amounts [cell O87]</t>
        </r>
      </text>
    </comment>
    <comment ref="C28" authorId="1" shapeId="0">
      <text>
        <r>
          <rPr>
            <b/>
            <sz val="9"/>
            <color indexed="81"/>
            <rFont val="Tahoma"/>
            <family val="2"/>
          </rPr>
          <t xml:space="preserve">AEP:
</t>
        </r>
        <r>
          <rPr>
            <sz val="9"/>
            <color indexed="81"/>
            <rFont val="Tahoma"/>
            <family val="2"/>
          </rPr>
          <t xml:space="preserve">The SPP NTC only allows 94% of this project to be Base Plan.  Therefore, from 2014 Update onward, the indicated ATTR is based upon 94% of actual project investment.
In previous annual Updates, AEP provided 100% investment based ATRR thus SPP only collected 94% of the indicated ATRRs.  
Repeating:  from 2014 Update onward, no scaling is required by SPP as the indicated ATRR is already refelcting the 94% scaler per the original NTC.
</t>
        </r>
      </text>
    </comment>
    <comment ref="K47" authorId="2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This amount was booked by AEP during CY 2014.  Represents Sch. 11 revenues remitted from SPP&gt;</t>
        </r>
      </text>
    </comment>
  </commentList>
</comments>
</file>

<file path=xl/comments2.xml><?xml version="1.0" encoding="utf-8"?>
<comments xmlns="http://schemas.openxmlformats.org/spreadsheetml/2006/main">
  <authors>
    <author>R.Pennybaker</author>
  </authors>
  <commentList>
    <comment ref="L19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This value comes from Formula Template file via data INPUT table below.  Then, it supuplies the project year value to the P.xxx sheets.</t>
        </r>
      </text>
    </comment>
  </commentList>
</comments>
</file>

<file path=xl/comments3.xml><?xml version="1.0" encoding="utf-8"?>
<comments xmlns="http://schemas.openxmlformats.org/spreadsheetml/2006/main">
  <authors>
    <author>rlp</author>
  </authors>
  <commentList>
    <comment ref="D18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updated total investment less sum of previous years depreciation.</t>
        </r>
      </text>
    </comment>
  </commentList>
</comments>
</file>

<file path=xl/comments4.xml><?xml version="1.0" encoding="utf-8"?>
<comments xmlns="http://schemas.openxmlformats.org/spreadsheetml/2006/main">
  <authors>
    <author>Mary Williamson</author>
    <author>rlp</author>
  </authors>
  <commentList>
    <comment ref="O5" authorId="0" shapeId="0">
      <text>
        <r>
          <rPr>
            <b/>
            <sz val="9"/>
            <color indexed="81"/>
            <rFont val="Tahoma"/>
            <family val="2"/>
          </rPr>
          <t>Mary Williamson:</t>
        </r>
        <r>
          <rPr>
            <sz val="9"/>
            <color indexed="81"/>
            <rFont val="Tahoma"/>
            <family val="2"/>
          </rPr>
          <t xml:space="preserve">
Wavetrap at Snyder portion of this project is being DA to WFEC due to the cancellation of their power plant construction.</t>
        </r>
      </text>
    </comment>
    <comment ref="D100" authorId="1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Updated total investment less sum of prior year(s) depreciation.</t>
        </r>
      </text>
    </comment>
  </commentList>
</comments>
</file>

<file path=xl/comments5.xml><?xml version="1.0" encoding="utf-8"?>
<comments xmlns="http://schemas.openxmlformats.org/spreadsheetml/2006/main">
  <authors>
    <author>rlp</author>
  </authors>
  <commentList>
    <comment ref="G17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Projected 2008 ARR not published in 2008 update because project not included until 2009 update.</t>
        </r>
      </text>
    </comment>
  </commentList>
</comments>
</file>

<file path=xl/comments6.xml><?xml version="1.0" encoding="utf-8"?>
<comments xmlns="http://schemas.openxmlformats.org/spreadsheetml/2006/main">
  <authors>
    <author>rlp</author>
  </authors>
  <commentList>
    <comment ref="D20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2009 &amp; prior historic values from 2010 template (not prev published).</t>
        </r>
      </text>
    </comment>
    <comment ref="D100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2007/6 historic values from 09 template calculations (not prev published).</t>
        </r>
      </text>
    </comment>
  </commentList>
</comments>
</file>

<file path=xl/comments7.xml><?xml version="1.0" encoding="utf-8"?>
<comments xmlns="http://schemas.openxmlformats.org/spreadsheetml/2006/main">
  <authors>
    <author>rlp</author>
  </authors>
  <commentList>
    <comment ref="D19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2009 &amp; prior historic values from 2010 template calculations (data not prev published).</t>
        </r>
      </text>
    </comment>
    <comment ref="D100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2008/7 hist values from 09 template (not prev published).</t>
        </r>
      </text>
    </comment>
  </commentList>
</comments>
</file>

<file path=xl/comments8.xml><?xml version="1.0" encoding="utf-8"?>
<comments xmlns="http://schemas.openxmlformats.org/spreadsheetml/2006/main">
  <authors>
    <author>AEP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Per SPP NTC, Investment (EOY) is input as 94% of actual total investment provided by Planning.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This year's Beginning Balance changed by both an IU (investment update) as well as starting the 94% scaler.  This year (2014) reflects 1st year Investment (EOY) value is scaled 94% on the front end vs SPP scaling ARR values on the back end.</t>
        </r>
      </text>
    </comment>
  </commentList>
</comments>
</file>

<file path=xl/sharedStrings.xml><?xml version="1.0" encoding="utf-8"?>
<sst xmlns="http://schemas.openxmlformats.org/spreadsheetml/2006/main" count="3693" uniqueCount="358">
  <si>
    <t>I.</t>
  </si>
  <si>
    <t xml:space="preserve">   Project ROE Incentive Adder (Enter as whole number)</t>
  </si>
  <si>
    <t>&lt;==Incentive ROE  Cannot Exceed 12.45%</t>
  </si>
  <si>
    <t>SUMMARY OF PROJECTED ANNUAL BASE PLAN AND  NON-BASE PLAN REVENUE REQUIREMENTS</t>
  </si>
  <si>
    <t>%</t>
  </si>
  <si>
    <t>Cost</t>
  </si>
  <si>
    <t>Weighted cost</t>
  </si>
  <si>
    <t>Long Term Debt</t>
  </si>
  <si>
    <t>Rev Require</t>
  </si>
  <si>
    <t xml:space="preserve"> W Incentives</t>
  </si>
  <si>
    <t>Incentive Amounts</t>
  </si>
  <si>
    <t>Preferred Stock</t>
  </si>
  <si>
    <t>Common Stock</t>
  </si>
  <si>
    <t>PROJECTED YEAR</t>
  </si>
  <si>
    <t>R =</t>
  </si>
  <si>
    <r>
      <t xml:space="preserve">Note:  </t>
    </r>
    <r>
      <rPr>
        <sz val="10"/>
        <rFont val="Arial"/>
        <family val="2"/>
      </rPr>
      <t xml:space="preserve">Review formulas in summary to ensure the proper year's revenue requirement is being </t>
    </r>
  </si>
  <si>
    <t>accumulated for each project from the tables below.</t>
  </si>
  <si>
    <t xml:space="preserve">   R   (fom A. above)</t>
  </si>
  <si>
    <t xml:space="preserve">   Return (Rate Base  x  R)</t>
  </si>
  <si>
    <t xml:space="preserve">   Return   (from B. above)</t>
  </si>
  <si>
    <t xml:space="preserve">   EIT=(T/(1-T)) * (1-(WCLTD/WACC)) =</t>
  </si>
  <si>
    <t xml:space="preserve">   Income Tax Calculation  (Return  x  EIT)</t>
  </si>
  <si>
    <t xml:space="preserve">   Income Taxes</t>
  </si>
  <si>
    <t>II.</t>
  </si>
  <si>
    <t>A.   Determine Net Revenue Requirement less return and Income Taxes.</t>
  </si>
  <si>
    <t xml:space="preserve">   Net Revenue Requirement, Less Return and Taxes</t>
  </si>
  <si>
    <t xml:space="preserve">   Income Taxes  (from I.C. above)</t>
  </si>
  <si>
    <t xml:space="preserve">   Revenue Requirement w/ Gross Margin Taxes</t>
  </si>
  <si>
    <t xml:space="preserve">      Basis Point ROE increase (II B. above)</t>
  </si>
  <si>
    <t>Total Additional Gross Margin Tax Revenue Requirement</t>
  </si>
  <si>
    <t>III.</t>
  </si>
  <si>
    <t>Calculation of Composite Depreciation Rate</t>
  </si>
  <si>
    <t>Transmission Plant @ Beginning of Period (P.206, ln 58)</t>
  </si>
  <si>
    <t>Transmission Plant @ End of Period (P.207, ln 58)</t>
  </si>
  <si>
    <t>Composite Depreciation Rate</t>
  </si>
  <si>
    <t>Depreciable Life for Composite Depreciation Rate</t>
  </si>
  <si>
    <t>Round to nearest whole year</t>
  </si>
  <si>
    <t>IV.</t>
  </si>
  <si>
    <t>Determine the Revenue Requirement &amp; Additional Revenue Requirement for facilities receiving incentives.</t>
  </si>
  <si>
    <t>A.   Facilities receiving incentives accepted by FERC in Docket No.</t>
  </si>
  <si>
    <t xml:space="preserve">   (e.g. ER05-925-000)</t>
  </si>
  <si>
    <t xml:space="preserve">Project Description: </t>
  </si>
  <si>
    <t>Current Projected Year Incentive ARR</t>
  </si>
  <si>
    <t>DETAILS</t>
  </si>
  <si>
    <t>TP2006087</t>
  </si>
  <si>
    <t>Investment</t>
  </si>
  <si>
    <t>Current Year</t>
  </si>
  <si>
    <t>CUMMULATIVE HISTORY OF PROJECTED ANNUAL REVENUE REQUIREMENTS:</t>
  </si>
  <si>
    <t>Service Year (yyyy)</t>
  </si>
  <si>
    <t>ROE increase accepted by FERC (Basis Points)</t>
  </si>
  <si>
    <t>Service Month (1-12)</t>
  </si>
  <si>
    <t>FCR w/o incentives, less depreciation</t>
  </si>
  <si>
    <t xml:space="preserve">          TEMPLATE BELOW TO MAINTAIN HISTORY OF PROJECTED ARRS OVER THE </t>
  </si>
  <si>
    <t>Useful life</t>
  </si>
  <si>
    <t>FCR w/incentives approved for these facilities, less dep.</t>
  </si>
  <si>
    <t xml:space="preserve">         LIFE OF THE PROJECT.</t>
  </si>
  <si>
    <t>CIAC (Yes or No)</t>
  </si>
  <si>
    <t>No</t>
  </si>
  <si>
    <t>Annual Depreciation Expense</t>
  </si>
  <si>
    <t>Beginning</t>
  </si>
  <si>
    <t>Depreciation</t>
  </si>
  <si>
    <t>Ending</t>
  </si>
  <si>
    <t>Additional Rev.</t>
  </si>
  <si>
    <t>Project Rev Req't True-up</t>
  </si>
  <si>
    <t>True-up of Incentive</t>
  </si>
  <si>
    <t>Year</t>
  </si>
  <si>
    <t>Balance</t>
  </si>
  <si>
    <t>Expense</t>
  </si>
  <si>
    <t xml:space="preserve">Requirement </t>
  </si>
  <si>
    <t xml:space="preserve">with Incentives </t>
  </si>
  <si>
    <t xml:space="preserve">  </t>
  </si>
  <si>
    <t xml:space="preserve">w/o Incentives </t>
  </si>
  <si>
    <t>Project Totals</t>
  </si>
  <si>
    <t>additional incentive requirement is applicable for the life of this specific project.  Each year the revenue requirement calculated for SPP</t>
  </si>
  <si>
    <t xml:space="preserve">should be incremented by the amount of the incentive revenue calculated for that year on this project. </t>
  </si>
  <si>
    <t>TP2007059</t>
  </si>
  <si>
    <t>TP2006054</t>
  </si>
  <si>
    <t>TP2004147</t>
  </si>
  <si>
    <t>TP2005006</t>
  </si>
  <si>
    <t>Pryor Junction 138/69 Upgrade Transf</t>
  </si>
  <si>
    <t>TP2006090</t>
  </si>
  <si>
    <t>TP2007015</t>
  </si>
  <si>
    <t>TP2005046</t>
  </si>
  <si>
    <t>TP2004033</t>
  </si>
  <si>
    <t>SUMMARY OF TRUED-UP ANNUAL REVENUE REQUIREMENTS FOR SPP BPU &amp; NON-BPU PROJECTS</t>
  </si>
  <si>
    <t>TRUE-UP YEAR</t>
  </si>
  <si>
    <t>Determine the Revenue Requirement, and Additional Revenue Requirement for facilities receiving incentives.</t>
  </si>
  <si>
    <t>Project Description:</t>
  </si>
  <si>
    <t>Details</t>
  </si>
  <si>
    <t>True-Up Year</t>
  </si>
  <si>
    <t>CUMMULATIVE HISTORY OF TRUED-UP ANNUAL REVENUE REQUIREMENTS:</t>
  </si>
  <si>
    <t xml:space="preserve">          TEMPLATE BELOW TO MAINTAIN HISTORY OF TRUED-UP ARRS OVER THE </t>
  </si>
  <si>
    <t>Average</t>
  </si>
  <si>
    <t>Incentive Rev.</t>
  </si>
  <si>
    <t>BPU Rev Req't True-up</t>
  </si>
  <si>
    <r>
      <t xml:space="preserve">** </t>
    </r>
    <r>
      <rPr>
        <sz val="10"/>
        <rFont val="Arial"/>
        <family val="2"/>
      </rPr>
      <t xml:space="preserve"> This is the total amount that needs to be reported to SPP for billing to all regions. </t>
    </r>
  </si>
  <si>
    <t xml:space="preserve">Average </t>
  </si>
  <si>
    <t>BPU Rev. Req't.From Prior Year Template</t>
  </si>
  <si>
    <r>
      <t xml:space="preserve">   Return   (from </t>
    </r>
    <r>
      <rPr>
        <sz val="10"/>
        <rFont val="MS Serif"/>
        <family val="1"/>
      </rPr>
      <t>I</t>
    </r>
    <r>
      <rPr>
        <sz val="10"/>
        <rFont val="Arial"/>
        <family val="2"/>
      </rPr>
      <t>.B. above)</t>
    </r>
  </si>
  <si>
    <r>
      <t xml:space="preserve">Requirement </t>
    </r>
    <r>
      <rPr>
        <b/>
        <sz val="10"/>
        <color indexed="10"/>
        <rFont val="Arial"/>
        <family val="2"/>
      </rPr>
      <t>##</t>
    </r>
  </si>
  <si>
    <r>
      <t>with Incentives</t>
    </r>
    <r>
      <rPr>
        <b/>
        <sz val="10"/>
        <color indexed="10"/>
        <rFont val="Arial"/>
        <family val="2"/>
      </rPr>
      <t xml:space="preserve"> **</t>
    </r>
  </si>
  <si>
    <r>
      <t>##</t>
    </r>
    <r>
      <rPr>
        <b/>
        <sz val="10"/>
        <rFont val="Arial"/>
        <family val="2"/>
      </rPr>
      <t xml:space="preserve"> This is the calculation of  additional incentive revenue on projects deemed by the FERC to be eligible for an incentive return.  This</t>
    </r>
  </si>
  <si>
    <r>
      <t xml:space="preserve">## </t>
    </r>
    <r>
      <rPr>
        <b/>
        <sz val="10"/>
        <color indexed="8"/>
        <rFont val="Arial"/>
        <family val="2"/>
      </rPr>
      <t>This is the calculation of  additional incentive revenue on projects deemed by the FERC to be eligible for an incentive return.  This</t>
    </r>
  </si>
  <si>
    <t>inset project name here</t>
  </si>
  <si>
    <t>Long Term Debt %</t>
  </si>
  <si>
    <t>Long Term Debt Cost</t>
  </si>
  <si>
    <t>Preferred Stock %</t>
  </si>
  <si>
    <t>Preferred Stock Cost</t>
  </si>
  <si>
    <t>Common Stock %</t>
  </si>
  <si>
    <t>EXPORT DATA to Template PSO WS F</t>
  </si>
  <si>
    <t>STEP 2</t>
  </si>
  <si>
    <t>STEP 3</t>
  </si>
  <si>
    <t>PSO</t>
  </si>
  <si>
    <t xml:space="preserve">       Apportionment Factor to Texas (Worksheet K, ln 12)</t>
  </si>
  <si>
    <t>Black text is not used in this workbook.</t>
  </si>
  <si>
    <t>Blue text is used by this workbbok and driven by non WS-F Formula Rate template worksheets</t>
  </si>
  <si>
    <t>SEE INPUT/OUTPUT ranges to the right  ----&gt;</t>
  </si>
  <si>
    <t>SEE INPUT/OUTPUT ranges to the right  ------&gt;</t>
  </si>
  <si>
    <t xml:space="preserve">AEP West SPP Member Companies </t>
  </si>
  <si>
    <t>PUBLIC SERVICE COMPANY OF OKLAHOMA</t>
  </si>
  <si>
    <t>See INPUT/OUTPUT ranges below.</t>
  </si>
  <si>
    <t>STEP 1</t>
  </si>
  <si>
    <t>Is done first in the main Formula Rate template  Worksheet F.</t>
  </si>
  <si>
    <t>STEP 4</t>
  </si>
  <si>
    <t>Is done last in the main Formula Rate template  Worksheet F.</t>
  </si>
  <si>
    <t>Copy to main FR Template</t>
  </si>
  <si>
    <t>Project Description</t>
  </si>
  <si>
    <t>Is done first in the main Formula Rate template  Worksheet G.</t>
  </si>
  <si>
    <t>Is done last in the main Formula Rate template  Worksheet G.</t>
  </si>
  <si>
    <t>EXPORT DATA to main FR Template PSO WS G</t>
  </si>
  <si>
    <t>Blue text below is used by this workbbok and comes from main Formula Rate template WS-G sheet.</t>
  </si>
  <si>
    <t>As Projected in Prior Year WS F   Rev Require</t>
  </si>
  <si>
    <t>As Projected in Prior Year WS F    W Incentives</t>
  </si>
  <si>
    <t>Actual after True-up Rev Require</t>
  </si>
  <si>
    <t>Actual after True-up  W Incentives</t>
  </si>
  <si>
    <r>
      <t>Worksheet F</t>
    </r>
    <r>
      <rPr>
        <sz val="14"/>
        <rFont val="Arial"/>
        <family val="2"/>
      </rPr>
      <t xml:space="preserve"> - Calculation of PROJECTED Annual Revenue Requirement for BPU and Special-billed Projects</t>
    </r>
  </si>
  <si>
    <r>
      <t>Worksheet G</t>
    </r>
    <r>
      <rPr>
        <sz val="14"/>
        <rFont val="Arial"/>
        <family val="2"/>
      </rPr>
      <t xml:space="preserve"> - Calculation of TRUED-UP Annual Revenue Requirement for BPU and Special-billed Projects</t>
    </r>
  </si>
  <si>
    <t>Worksheet F --- DATA INPUT (Paste.Values) from TEMPLATE PSO WS F</t>
  </si>
  <si>
    <t>&lt;----Worksheet data is for</t>
  </si>
  <si>
    <t>Worksheet F</t>
  </si>
  <si>
    <t>Worksheet G</t>
  </si>
  <si>
    <r>
      <t>Worksheet G  --  PUBLIC SERVICE COMPANY OF OKLAHOMA  --  Calculation of "</t>
    </r>
    <r>
      <rPr>
        <b/>
        <u/>
        <sz val="16"/>
        <rFont val="Arial"/>
        <family val="2"/>
      </rPr>
      <t>Trued-Up</t>
    </r>
    <r>
      <rPr>
        <b/>
        <sz val="16"/>
        <rFont val="Arial"/>
        <family val="2"/>
      </rPr>
      <t>" ARR for SPP Base Plan Upgrade Projects</t>
    </r>
  </si>
  <si>
    <r>
      <t>Worksheet F  --  PUBLIC SERVICE COMPANY OF OKLAHOMA  --  Calculation of "</t>
    </r>
    <r>
      <rPr>
        <b/>
        <u/>
        <sz val="16"/>
        <rFont val="Arial"/>
        <family val="2"/>
      </rPr>
      <t>Projected</t>
    </r>
    <r>
      <rPr>
        <b/>
        <sz val="16"/>
        <rFont val="Arial"/>
        <family val="2"/>
      </rPr>
      <t>" ARR for SPP Base Plan Upgrade Projects</t>
    </r>
  </si>
  <si>
    <r>
      <t>##</t>
    </r>
    <r>
      <rPr>
        <sz val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This is the calculation of  additional incentive revenue on projects deemed by the FERC to be eligible for an incentive return.  This</t>
    </r>
  </si>
  <si>
    <r>
      <t>##</t>
    </r>
    <r>
      <rPr>
        <sz val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This is the calculation of  additional incentive revenue on projects deemed by the FERC to be eligible for an incentive return.  This</t>
    </r>
  </si>
  <si>
    <t xml:space="preserve">(Worksheet F)    </t>
  </si>
  <si>
    <t xml:space="preserve">(Worksheet G)    </t>
  </si>
  <si>
    <t>basis points</t>
  </si>
  <si>
    <t>w/Incentives</t>
  </si>
  <si>
    <t xml:space="preserve">Prior Year Projected  (WS-F)  </t>
  </si>
  <si>
    <t xml:space="preserve">Prior Year True-Up  (WS-G)  </t>
  </si>
  <si>
    <t xml:space="preserve">True-Up Adjustment  </t>
  </si>
  <si>
    <t>AEP Transmission Formula Rate Template</t>
  </si>
  <si>
    <t xml:space="preserve">AEP Schedule 11 Revenue Requirement Including True-Up of Prior Collections </t>
  </si>
  <si>
    <t>(A)</t>
  </si>
  <si>
    <t>(B)</t>
  </si>
  <si>
    <t>(C )</t>
  </si>
  <si>
    <t>(D)</t>
  </si>
  <si>
    <t>(E)</t>
  </si>
  <si>
    <t>(F)</t>
  </si>
  <si>
    <t>(H)</t>
  </si>
  <si>
    <t>(I)</t>
  </si>
  <si>
    <t>(M)</t>
  </si>
  <si>
    <t>Base ARR</t>
  </si>
  <si>
    <t>Owner</t>
  </si>
  <si>
    <t>Year in Service</t>
  </si>
  <si>
    <t>Incentive</t>
  </si>
  <si>
    <t>Total</t>
  </si>
  <si>
    <t>True-up</t>
  </si>
  <si>
    <t>As Billed</t>
  </si>
  <si>
    <t>Change</t>
  </si>
  <si>
    <t>PSO Total</t>
  </si>
  <si>
    <t>P.001</t>
  </si>
  <si>
    <t>Sheet Name</t>
  </si>
  <si>
    <t>P.002</t>
  </si>
  <si>
    <t>P.003</t>
  </si>
  <si>
    <t>P.004</t>
  </si>
  <si>
    <t>P.005</t>
  </si>
  <si>
    <t>P.006</t>
  </si>
  <si>
    <t>P.007</t>
  </si>
  <si>
    <t>P.008</t>
  </si>
  <si>
    <t>P.009</t>
  </si>
  <si>
    <t>Indirect References</t>
  </si>
  <si>
    <r>
      <t xml:space="preserve">Calculation of Schedule </t>
    </r>
    <r>
      <rPr>
        <sz val="12"/>
        <rFont val="Arial"/>
        <family val="2"/>
      </rPr>
      <t>11 Revenue Requirements For AEP Transmission Projects</t>
    </r>
  </si>
  <si>
    <r>
      <t xml:space="preserve">   DO </t>
    </r>
    <r>
      <rPr>
        <b/>
        <sz val="10"/>
        <color indexed="10"/>
        <rFont val="Arial"/>
        <family val="2"/>
      </rPr>
      <t>NOT</t>
    </r>
    <r>
      <rPr>
        <b/>
        <sz val="10"/>
        <rFont val="Arial"/>
        <family val="2"/>
      </rPr>
      <t xml:space="preserve"> delete this row or the formulas above will not work.</t>
    </r>
  </si>
  <si>
    <t>from WS-F &amp; G</t>
  </si>
  <si>
    <t>Do NOT delete.</t>
  </si>
  <si>
    <r>
      <t xml:space="preserve">Base ARR
</t>
    </r>
    <r>
      <rPr>
        <sz val="10"/>
        <rFont val="Arial"/>
        <family val="2"/>
      </rPr>
      <t>(WS-F)</t>
    </r>
  </si>
  <si>
    <t>Incentive ARR</t>
  </si>
  <si>
    <t>(J)</t>
  </si>
  <si>
    <t>(L)</t>
  </si>
  <si>
    <t>(O)</t>
  </si>
  <si>
    <t>Total Adjustments before Interest</t>
  </si>
  <si>
    <t>the column above</t>
  </si>
  <si>
    <t>is used to feed interest</t>
  </si>
  <si>
    <t>calculation engine and its</t>
  </si>
  <si>
    <t>output is put into the interest</t>
  </si>
  <si>
    <t>PROJECTED Rev. Req't From Prior Year Template</t>
  </si>
  <si>
    <t>Catoosa 138 kV Device (Cap. Bank)</t>
  </si>
  <si>
    <t>Cache-Snyder to Altus Jct. 138 kV line (w/2 ring bus stations)</t>
  </si>
  <si>
    <t>WFEC New 138 kV Ties: Sayre to Erick (WFEC) Line &amp; Atoka and Tupelo station work</t>
  </si>
  <si>
    <t>Riverside-Glenpool (81-523) Reconductor</t>
  </si>
  <si>
    <t>Craig Jct. to Broken Bow Dam 138 Rebuild (7.7mi)</t>
  </si>
  <si>
    <t>TRUE-UP Rev. Req't.From Prior Year Template</t>
  </si>
  <si>
    <t xml:space="preserve"> Worksheet G</t>
  </si>
  <si>
    <t>Elk City - Elk City 69 kV line (CT Upgrades)*</t>
  </si>
  <si>
    <t>Weleetka &amp; Okmulgee Wavetrap replacement 81-805*</t>
  </si>
  <si>
    <t>Tulsa Southeast Upgrade (repl switches)*</t>
  </si>
  <si>
    <t>*&lt;$100K investment</t>
  </si>
  <si>
    <t xml:space="preserve">∑ Prior Year True-Up  (WS-G)  </t>
  </si>
  <si>
    <t xml:space="preserve">∑ Prior Year Projected  (WS-F)  </t>
  </si>
  <si>
    <r>
      <t xml:space="preserve">Total Adjustments
</t>
    </r>
    <r>
      <rPr>
        <sz val="8"/>
        <rFont val="Arial"/>
        <family val="2"/>
      </rPr>
      <t>(True-Up, Billing, &amp; Interest)</t>
    </r>
  </si>
  <si>
    <t>TP2009011</t>
  </si>
  <si>
    <t>P.010</t>
  </si>
  <si>
    <t>*</t>
  </si>
  <si>
    <t>column to left (Q).</t>
  </si>
  <si>
    <t>Investment (EOY)</t>
  </si>
  <si>
    <t>Worksheet G ---- DATA INPUT (Paste.Values) from main FR TEMPLATE PSO WS G</t>
  </si>
  <si>
    <t>TP2008079-PSO</t>
  </si>
  <si>
    <t>Bartlesville SE to Coffeyville T Rebuild</t>
  </si>
  <si>
    <t>P.011</t>
  </si>
  <si>
    <t xml:space="preserve">   Determine R  (cost of long term debt, cost of preferred stock and percent is from Projected TCOS, lns 147 through 149)</t>
  </si>
  <si>
    <t xml:space="preserve">   Rate Base  (True-Up TCOS, ln 63)</t>
  </si>
  <si>
    <t xml:space="preserve">   Net Transmission Plant  (True-Up TCOS, ln 39)</t>
  </si>
  <si>
    <t xml:space="preserve">   FCR less Depreciation  (True-Up TCOS, ln 12)</t>
  </si>
  <si>
    <t xml:space="preserve">   Determine R  (cost of long term debt, cost of preferred stock and percent is from True-Up TCOS, lns 134 through 136)</t>
  </si>
  <si>
    <t>TP2009095-PSO</t>
  </si>
  <si>
    <t>Canadian River - McAlester City 138 kV Line Conversion</t>
  </si>
  <si>
    <t>P.012</t>
  </si>
  <si>
    <t>TP2008013</t>
  </si>
  <si>
    <t>P.013</t>
  </si>
  <si>
    <t>TP2009092</t>
  </si>
  <si>
    <t>Ashdown West - Craig Junction</t>
  </si>
  <si>
    <t>P.014</t>
  </si>
  <si>
    <t>NOTE:</t>
  </si>
  <si>
    <t>To INSERT a new project line item (row)</t>
  </si>
  <si>
    <t>1.   Insert blank row(s) for new project(s) between TOTAL row and existing last project row.</t>
  </si>
  <si>
    <t>2.  Copy entire contents of last project Row, then Paste into new blank row(s), again….leave 1 blank row to maintain summing formulas.</t>
  </si>
  <si>
    <t>0a.  Always maintain a blank row between TOTAL and last project (this maintains summing formulas in Totalization row.</t>
  </si>
  <si>
    <t>0b.   Always add and fill out new P.0xx Project Sheet(s) before inserting rows on this summary sheet.</t>
  </si>
  <si>
    <t>3.  In the SheetName column in this sheet…change the P.0xx type number(s) to match the corresponding newly added P.0xx sheets.</t>
  </si>
  <si>
    <t>WFEC DA Adjustment</t>
  </si>
  <si>
    <t>TP2009093</t>
  </si>
  <si>
    <t>Locust Grove to Lone Star 115 kV Rebuild 2.1 miles</t>
  </si>
  <si>
    <t>TP2011093</t>
  </si>
  <si>
    <t>Cornville Station Conversion</t>
  </si>
  <si>
    <t>P.015</t>
  </si>
  <si>
    <t>P.016</t>
  </si>
  <si>
    <t>Wavetrap Clinton City-Foss Tap 69kV Ckt 1*</t>
  </si>
  <si>
    <t>CoffeyvilleT to Dearing 138 kv Rebuild - 1.1 mi*</t>
  </si>
  <si>
    <t>Note:  Project's whose investment cost do NOT meet SPP's $100,000 threshold for 'regional' socialization are marked with an asterik "*" as SPP will only collect those ATRRs from the zone.</t>
  </si>
  <si>
    <t xml:space="preserve">  SPP Project ID = 649</t>
  </si>
  <si>
    <t xml:space="preserve">  SPP Project ID = 30346</t>
  </si>
  <si>
    <t>NOTE:  Original NTC indicates only 94% to be Base Plan.</t>
  </si>
  <si>
    <t>&lt;&lt; 2014-present ARR values based on 94% actual cost.  Yrs 2011-13 ARR values based on 100% actual cost (SPP scaled ARR data) &gt;&gt;</t>
  </si>
  <si>
    <t>TP1300201</t>
  </si>
  <si>
    <t>Grady Customer Connection</t>
  </si>
  <si>
    <t>Darlington-Red Rock 138 kV line</t>
  </si>
  <si>
    <t>P.017</t>
  </si>
  <si>
    <t>P.018</t>
  </si>
  <si>
    <t>***Sch. 11 recovery commenced in 2015 rate year***</t>
  </si>
  <si>
    <t xml:space="preserve"> &lt;--- this value goes to sched 11 interest support file - line 17</t>
  </si>
  <si>
    <t>2013</t>
  </si>
  <si>
    <t>2014</t>
  </si>
  <si>
    <t>TP2012112</t>
  </si>
  <si>
    <t xml:space="preserve">***Sch. 11 recovery commenced in the 2015 rate year.  Beg Bal = to depreciated balance as of 1/1/15. *** </t>
  </si>
  <si>
    <t>P.019</t>
  </si>
  <si>
    <t>P.020</t>
  </si>
  <si>
    <t>P.021</t>
  </si>
  <si>
    <t>P.022</t>
  </si>
  <si>
    <t>Darlington-Roman Nose 138 kV</t>
  </si>
  <si>
    <t>Northeastern Station 138 kV Terminal Upgrades</t>
  </si>
  <si>
    <t>Valliant-NW Texarkana 345 kV</t>
  </si>
  <si>
    <t>Sayre 138 kV Capacitor Bank Addition</t>
  </si>
  <si>
    <t>&lt;==From Input on Worksheet A</t>
  </si>
  <si>
    <t>Current Projected Year ARR</t>
  </si>
  <si>
    <t>Current Projected Year ARR w/ Incentive</t>
  </si>
  <si>
    <t>Beg/Ending 
Average
Revenue</t>
  </si>
  <si>
    <t>Beg/Ending
Average
Revenue Req't.</t>
  </si>
  <si>
    <t>Apportionment Factor to Texas (ln12)</t>
  </si>
  <si>
    <t>Apportioned Texas Revenues</t>
  </si>
  <si>
    <t>Taxable Percentage of Revenue (22%)</t>
  </si>
  <si>
    <t>Taxable, Apportioned Margin</t>
  </si>
  <si>
    <t>Texas Gross Margin Tax Rate (1%)</t>
  </si>
  <si>
    <t>Texas Gross Margin Tax Expense</t>
  </si>
  <si>
    <t xml:space="preserve">Gross-up Required for Texas Gross Margin Expense </t>
  </si>
  <si>
    <t>Elk City 138 KV Move Load</t>
  </si>
  <si>
    <t>Fort Townson-Valliant Line Rebuild</t>
  </si>
  <si>
    <t>Duncan-Comanche Tap 69 KV Rebuild and Duncan station upgrades</t>
  </si>
  <si>
    <t>P.023</t>
  </si>
  <si>
    <t>P.024</t>
  </si>
  <si>
    <t>P.025</t>
  </si>
  <si>
    <t xml:space="preserve">  SPP Project ID = 936</t>
  </si>
  <si>
    <t xml:space="preserve">  SPP Project ID = 30997</t>
  </si>
  <si>
    <t xml:space="preserve">  SPP Project ID = 30619</t>
  </si>
  <si>
    <t xml:space="preserve">  SPP Project ID = 31003</t>
  </si>
  <si>
    <t xml:space="preserve">  SPP Project ID = 31005</t>
  </si>
  <si>
    <t xml:space="preserve">  SPP Project ID = 31058</t>
  </si>
  <si>
    <t xml:space="preserve">  SPP Project ID = 31009 &amp; 31039</t>
  </si>
  <si>
    <t xml:space="preserve">  SPP Project ID = 220</t>
  </si>
  <si>
    <t xml:space="preserve">  SPP Project ID = 230</t>
  </si>
  <si>
    <t xml:space="preserve">  SPP Project ID = 112 &amp; 177</t>
  </si>
  <si>
    <t xml:space="preserve">  SPP Project ID = 106 &amp; 119</t>
  </si>
  <si>
    <t xml:space="preserve">  SPP Project ID = 30001</t>
  </si>
  <si>
    <t xml:space="preserve">  SPP Project ID = 110 &amp; 657</t>
  </si>
  <si>
    <t xml:space="preserve">  SPP Project ID = 118</t>
  </si>
  <si>
    <t xml:space="preserve">  SPP Project ID = 3 &amp; 4</t>
  </si>
  <si>
    <t xml:space="preserve">  SPP Project ID = 46</t>
  </si>
  <si>
    <t xml:space="preserve">  SPP Project ID = 289</t>
  </si>
  <si>
    <t xml:space="preserve">  SPP Project ID = 446, 454, 902 &amp; 911</t>
  </si>
  <si>
    <t xml:space="preserve">  SPP Project ID = 767</t>
  </si>
  <si>
    <t xml:space="preserve">  SPP Project ID = 295</t>
  </si>
  <si>
    <t xml:space="preserve">  SPP Project ID = 770</t>
  </si>
  <si>
    <t>Projected Year</t>
  </si>
  <si>
    <t xml:space="preserve">   Net Transmission Plant  (TCOS, ln 37)</t>
  </si>
  <si>
    <t xml:space="preserve">   FCR less Depreciation  (TCOS, ln 10)</t>
  </si>
  <si>
    <t>Transmission Plant @ Beginning of Period (Worksheet A ln 9 col. ((D))</t>
  </si>
  <si>
    <t>Transmission Plant @ End of Period (Worksheet A ln 9 col. ((C))</t>
  </si>
  <si>
    <t>Projected ADJUSTED ARR from Prior Update</t>
  </si>
  <si>
    <r>
      <t xml:space="preserve">TRUE-UP Adjustment </t>
    </r>
    <r>
      <rPr>
        <sz val="10"/>
        <rFont val="Arial"/>
        <family val="2"/>
      </rPr>
      <t>(WS-G)</t>
    </r>
  </si>
  <si>
    <r>
      <t xml:space="preserve">As Billed
by SPP
</t>
    </r>
    <r>
      <rPr>
        <sz val="10"/>
        <rFont val="Arial"/>
        <family val="2"/>
      </rPr>
      <t>(for Prior Yr
T-Service)</t>
    </r>
  </si>
  <si>
    <t>Interest</t>
  </si>
  <si>
    <t>COLLECTION Adjustment</t>
  </si>
  <si>
    <t>Tulsa Southeast - E. 61st St 138 kV Rebuild</t>
  </si>
  <si>
    <t xml:space="preserve">  SPP Project ID = 41202</t>
  </si>
  <si>
    <t xml:space="preserve">  SPP Project ID = 41233</t>
  </si>
  <si>
    <t>Broken Arrow North-Lynn Lane East 138 kV</t>
  </si>
  <si>
    <t>P.026</t>
  </si>
  <si>
    <t>P.027</t>
  </si>
  <si>
    <t xml:space="preserve">  SPP Project ID = 30748</t>
  </si>
  <si>
    <t xml:space="preserve">  SPP Project ID = 30746</t>
  </si>
  <si>
    <t xml:space="preserve">   ROE w/o incentives  (True-Up TCOS, ln 135)</t>
  </si>
  <si>
    <t xml:space="preserve">   Tax Rate  (True-Up TCOS, ln 105)</t>
  </si>
  <si>
    <t xml:space="preserve">   ITC Adjustment  (True-Up TCOS, ln 102)</t>
  </si>
  <si>
    <t xml:space="preserve">   Net Revenue Requirement  (True-Up TCOS, ln 109)</t>
  </si>
  <si>
    <t xml:space="preserve">   Return  (True-Up TCOS, ln 104)</t>
  </si>
  <si>
    <t xml:space="preserve">   Income Taxes  (True-Up TCOS, ln 103)</t>
  </si>
  <si>
    <t xml:space="preserve">  Gross Margin Taxes  (True-Up TCOS, ln 108)</t>
  </si>
  <si>
    <t xml:space="preserve">   Less: Depreciation  (True-Up TCOS, ln 82)</t>
  </si>
  <si>
    <t>Annual Depreciation Expense  (True-Up TCOS, ln 82)</t>
  </si>
  <si>
    <t>True-Up ARR CY 2018 From Worksheet G  (includes adjustment for SPP Collections)</t>
  </si>
  <si>
    <t>P.028</t>
  </si>
  <si>
    <t>Keystone Dam - Wekiwa 138 kV</t>
  </si>
  <si>
    <t xml:space="preserve">   Excess DFIT Adjustment  (TCOS, ln 109)</t>
  </si>
  <si>
    <t xml:space="preserve">   Tax Effect of Permanent and Flow Through Differences (TCOS, ln 110)</t>
  </si>
  <si>
    <t>Transmission Plant Average Balance for 2018</t>
  </si>
  <si>
    <t xml:space="preserve">   ROE w/o incentives  (TCOS, ln 143)</t>
  </si>
  <si>
    <t xml:space="preserve">   Rate Base  (TCOS, ln 63)</t>
  </si>
  <si>
    <t xml:space="preserve">   Tax Rate  (TCOS, ln 99)</t>
  </si>
  <si>
    <t xml:space="preserve">   ITC Adjustment  (TCOS, ln 108)</t>
  </si>
  <si>
    <t xml:space="preserve">   Tax Effect of Permanent and Flow Through Differences  (TCOS, ln 110)</t>
  </si>
  <si>
    <t xml:space="preserve">   Net Revenue Requirement  (TCOS, ln 117)</t>
  </si>
  <si>
    <t xml:space="preserve">   Return  (TCOS, ln 112)</t>
  </si>
  <si>
    <t xml:space="preserve">   Income Taxes  (TCOS, ln 111)</t>
  </si>
  <si>
    <t xml:space="preserve">  Gross Margin Taxes  (TCOS, ln 116)</t>
  </si>
  <si>
    <t xml:space="preserve">   Less: Depreciation  (TCOS, ln 86)</t>
  </si>
  <si>
    <t>Transmission Plant Average Balance for 2020 (WS A-1 Ln 14 Col (d))</t>
  </si>
  <si>
    <t>Annual Depreciation Expense  (TCOS, ln 86)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</si>
</sst>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0"/>
    <numFmt numFmtId="166" formatCode="#,##0.0000"/>
    <numFmt numFmtId="167" formatCode="0.0000"/>
    <numFmt numFmtId="168" formatCode="&quot;$&quot;#,##0"/>
    <numFmt numFmtId="169" formatCode="&quot;$&quot;#,##0.00"/>
    <numFmt numFmtId="170" formatCode="_(* #,##0_);_(* \(#,##0\);_(* &quot;-&quot;??_);_(@_)"/>
    <numFmt numFmtId="171" formatCode="_(&quot;$&quot;* #,##0_);_(&quot;$&quot;* \(#,##0\);_(&quot;$&quot;* &quot;-&quot;??_);_(@_)"/>
    <numFmt numFmtId="172" formatCode="_(* #,##0.0000_);_(* \(#,##0.0000\);_(* &quot;-&quot;????_);_(@_)"/>
    <numFmt numFmtId="173" formatCode="_(* #,##0.0000_);_(* \(#,##0.0000\);_(* &quot;-&quot;_);_(@_)"/>
    <numFmt numFmtId="174" formatCode="_(* #,##0.00000_);_(* \(#,##0.00000\);_(* &quot;-&quot;??_);_(@_)"/>
    <numFmt numFmtId="175" formatCode="_(&quot;$&quot;* #,##0.0000000_);_(&quot;$&quot;* \(#,##0.0000000\);_(&quot;$&quot;* &quot;-&quot;??_);_(@_)"/>
    <numFmt numFmtId="176" formatCode="_(* #,##0.0000000000_);_(* \(#,##0.0000000000\);_(* &quot;-&quot;??_);_(@_)"/>
    <numFmt numFmtId="177" formatCode="_(* #,##0.000000_);_(* \(#,##0.000000\);_(* &quot;-&quot;??_);_(@_)"/>
    <numFmt numFmtId="178" formatCode="0.0000%"/>
    <numFmt numFmtId="179" formatCode="0.0%"/>
  </numFmts>
  <fonts count="88">
    <font>
      <sz val="10"/>
      <name val="Arial"/>
    </font>
    <font>
      <sz val="10"/>
      <name val="Arial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20"/>
      <name val="Arial Narrow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sz val="11"/>
      <color indexed="17"/>
      <name val="Arial Narrow"/>
      <family val="2"/>
    </font>
    <font>
      <b/>
      <sz val="18"/>
      <name val="Arial"/>
      <family val="2"/>
    </font>
    <font>
      <b/>
      <sz val="11"/>
      <color indexed="56"/>
      <name val="Arial Narrow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1"/>
      <color indexed="62"/>
      <name val="Arial Narrow"/>
      <family val="2"/>
    </font>
    <font>
      <sz val="11"/>
      <color indexed="52"/>
      <name val="Arial Narrow"/>
      <family val="2"/>
    </font>
    <font>
      <sz val="11"/>
      <color indexed="60"/>
      <name val="Arial Narrow"/>
      <family val="2"/>
    </font>
    <font>
      <sz val="12"/>
      <name val="Arial MT"/>
    </font>
    <font>
      <b/>
      <sz val="11"/>
      <color indexed="63"/>
      <name val="Arial Narrow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 Narrow"/>
      <family val="2"/>
    </font>
    <font>
      <sz val="14"/>
      <name val="Arial"/>
      <family val="2"/>
    </font>
    <font>
      <b/>
      <sz val="14"/>
      <name val="MS Serif"/>
      <family val="1"/>
    </font>
    <font>
      <u/>
      <sz val="10"/>
      <name val="Arial"/>
      <family val="2"/>
    </font>
    <font>
      <sz val="10"/>
      <name val="MS Serif"/>
      <family val="1"/>
    </font>
    <font>
      <b/>
      <sz val="16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 val="singleAccounting"/>
      <sz val="10"/>
      <name val="Arial"/>
      <family val="2"/>
    </font>
    <font>
      <sz val="12"/>
      <color indexed="10"/>
      <name val="Arial"/>
      <family val="2"/>
    </font>
    <font>
      <b/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48"/>
      <name val="Arial"/>
      <family val="2"/>
    </font>
    <font>
      <sz val="8"/>
      <name val="Arial"/>
      <family val="2"/>
    </font>
    <font>
      <b/>
      <i/>
      <sz val="8"/>
      <color indexed="10"/>
      <name val="Arial"/>
      <family val="2"/>
    </font>
    <font>
      <sz val="10"/>
      <color indexed="12"/>
      <name val="Arial"/>
      <family val="2"/>
    </font>
    <font>
      <b/>
      <u/>
      <sz val="10"/>
      <name val="Arial"/>
      <family val="2"/>
    </font>
    <font>
      <b/>
      <sz val="10"/>
      <color indexed="57"/>
      <name val="Arial"/>
      <family val="2"/>
    </font>
    <font>
      <sz val="14"/>
      <color indexed="12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b/>
      <sz val="12"/>
      <color indexed="12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i/>
      <sz val="8"/>
      <color indexed="81"/>
      <name val="Tahoma"/>
      <family val="2"/>
    </font>
    <font>
      <sz val="8"/>
      <color indexed="10"/>
      <name val="Arial"/>
      <family val="2"/>
    </font>
    <font>
      <b/>
      <i/>
      <sz val="10"/>
      <color indexed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33CC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7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169" fontId="5" fillId="0" borderId="0" applyFill="0"/>
    <xf numFmtId="169" fontId="5" fillId="0" borderId="0">
      <alignment horizontal="center"/>
    </xf>
    <xf numFmtId="0" fontId="5" fillId="0" borderId="0" applyFill="0">
      <alignment horizontal="center"/>
    </xf>
    <xf numFmtId="169" fontId="6" fillId="0" borderId="1" applyFill="0"/>
    <xf numFmtId="0" fontId="7" fillId="0" borderId="0" applyFont="0" applyAlignment="0"/>
    <xf numFmtId="0" fontId="8" fillId="0" borderId="0" applyFill="0">
      <alignment vertical="top"/>
    </xf>
    <xf numFmtId="0" fontId="6" fillId="0" borderId="0" applyFill="0">
      <alignment horizontal="left" vertical="top"/>
    </xf>
    <xf numFmtId="169" fontId="9" fillId="0" borderId="2" applyFill="0"/>
    <xf numFmtId="0" fontId="7" fillId="0" borderId="0" applyNumberFormat="0" applyFont="0" applyAlignment="0"/>
    <xf numFmtId="0" fontId="8" fillId="0" borderId="0" applyFill="0">
      <alignment wrapText="1"/>
    </xf>
    <xf numFmtId="0" fontId="6" fillId="0" borderId="0" applyFill="0">
      <alignment horizontal="left" vertical="top" wrapText="1"/>
    </xf>
    <xf numFmtId="169" fontId="10" fillId="0" borderId="0" applyFill="0"/>
    <xf numFmtId="0" fontId="11" fillId="0" borderId="0" applyNumberFormat="0" applyFont="0" applyAlignment="0">
      <alignment horizontal="center"/>
    </xf>
    <xf numFmtId="0" fontId="12" fillId="0" borderId="0" applyFill="0">
      <alignment vertical="top" wrapText="1"/>
    </xf>
    <xf numFmtId="0" fontId="9" fillId="0" borderId="0" applyFill="0">
      <alignment horizontal="left" vertical="top" wrapText="1"/>
    </xf>
    <xf numFmtId="169" fontId="7" fillId="0" borderId="0" applyFill="0"/>
    <xf numFmtId="0" fontId="11" fillId="0" borderId="0" applyNumberFormat="0" applyFont="0" applyAlignment="0">
      <alignment horizontal="center"/>
    </xf>
    <xf numFmtId="0" fontId="13" fillId="0" borderId="0" applyFill="0">
      <alignment vertical="center" wrapText="1"/>
    </xf>
    <xf numFmtId="0" fontId="14" fillId="0" borderId="0">
      <alignment horizontal="left" vertical="center" wrapText="1"/>
    </xf>
    <xf numFmtId="169" fontId="15" fillId="0" borderId="0" applyFill="0"/>
    <xf numFmtId="0" fontId="11" fillId="0" borderId="0" applyNumberFormat="0" applyFont="0" applyAlignment="0">
      <alignment horizontal="center"/>
    </xf>
    <xf numFmtId="0" fontId="16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69" fontId="17" fillId="0" borderId="0" applyFill="0"/>
    <xf numFmtId="0" fontId="11" fillId="0" borderId="0" applyNumberFormat="0" applyFont="0" applyAlignment="0">
      <alignment horizontal="center"/>
    </xf>
    <xf numFmtId="0" fontId="18" fillId="0" borderId="0" applyFill="0">
      <alignment horizontal="center" vertical="center" wrapText="1"/>
    </xf>
    <xf numFmtId="0" fontId="19" fillId="0" borderId="0" applyFill="0">
      <alignment horizontal="center" vertical="center" wrapText="1"/>
    </xf>
    <xf numFmtId="169" fontId="20" fillId="0" borderId="0" applyFill="0"/>
    <xf numFmtId="0" fontId="11" fillId="0" borderId="0" applyNumberFormat="0" applyFont="0" applyAlignment="0">
      <alignment horizontal="center"/>
    </xf>
    <xf numFmtId="0" fontId="21" fillId="0" borderId="0">
      <alignment horizontal="center" wrapText="1"/>
    </xf>
    <xf numFmtId="0" fontId="17" fillId="0" borderId="0" applyFill="0">
      <alignment horizontal="center" wrapText="1"/>
    </xf>
    <xf numFmtId="0" fontId="22" fillId="20" borderId="3" applyNumberFormat="0" applyAlignment="0" applyProtection="0"/>
    <xf numFmtId="0" fontId="23" fillId="21" borderId="4" applyNumberFormat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5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/>
    <xf numFmtId="0" fontId="29" fillId="0" borderId="0"/>
    <xf numFmtId="0" fontId="30" fillId="7" borderId="3" applyNumberFormat="0" applyAlignment="0" applyProtection="0"/>
    <xf numFmtId="0" fontId="31" fillId="0" borderId="7" applyNumberFormat="0" applyFill="0" applyAlignment="0" applyProtection="0"/>
    <xf numFmtId="0" fontId="32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3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80" fillId="0" borderId="0"/>
    <xf numFmtId="0" fontId="80" fillId="0" borderId="0"/>
    <xf numFmtId="3" fontId="7" fillId="0" borderId="0"/>
    <xf numFmtId="0" fontId="81" fillId="0" borderId="0"/>
    <xf numFmtId="169" fontId="33" fillId="0" borderId="0" applyProtection="0"/>
    <xf numFmtId="0" fontId="33" fillId="23" borderId="8" applyNumberFormat="0" applyFont="0" applyAlignment="0" applyProtection="0"/>
    <xf numFmtId="0" fontId="34" fillId="20" borderId="9" applyNumberForma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3" fontId="7" fillId="0" borderId="0">
      <alignment horizontal="left" vertical="top"/>
    </xf>
    <xf numFmtId="0" fontId="36" fillId="0" borderId="6">
      <alignment horizontal="center"/>
    </xf>
    <xf numFmtId="3" fontId="35" fillId="0" borderId="0" applyFont="0" applyFill="0" applyBorder="0" applyAlignment="0" applyProtection="0"/>
    <xf numFmtId="0" fontId="35" fillId="24" borderId="0" applyNumberFormat="0" applyFont="0" applyBorder="0" applyAlignment="0" applyProtection="0"/>
    <xf numFmtId="3" fontId="7" fillId="0" borderId="0">
      <alignment horizontal="right" vertical="top"/>
    </xf>
    <xf numFmtId="41" fontId="14" fillId="25" borderId="10" applyFill="0"/>
    <xf numFmtId="0" fontId="37" fillId="0" borderId="0">
      <alignment horizontal="left" indent="7"/>
    </xf>
    <xf numFmtId="41" fontId="14" fillId="0" borderId="10" applyFill="0">
      <alignment horizontal="left" indent="2"/>
    </xf>
    <xf numFmtId="169" fontId="38" fillId="0" borderId="11" applyFill="0">
      <alignment horizontal="right"/>
    </xf>
    <xf numFmtId="0" fontId="39" fillId="0" borderId="12" applyNumberFormat="0" applyFont="0" applyBorder="0">
      <alignment horizontal="right"/>
    </xf>
    <xf numFmtId="0" fontId="40" fillId="0" borderId="0" applyFill="0"/>
    <xf numFmtId="0" fontId="9" fillId="0" borderId="0" applyFill="0"/>
    <xf numFmtId="4" fontId="38" fillId="0" borderId="11" applyFill="0"/>
    <xf numFmtId="0" fontId="7" fillId="0" borderId="0" applyNumberFormat="0" applyFont="0" applyBorder="0" applyAlignment="0"/>
    <xf numFmtId="0" fontId="12" fillId="0" borderId="0" applyFill="0">
      <alignment horizontal="left" indent="1"/>
    </xf>
    <xf numFmtId="0" fontId="41" fillId="0" borderId="0" applyFill="0">
      <alignment horizontal="left" indent="1"/>
    </xf>
    <xf numFmtId="4" fontId="15" fillId="0" borderId="0" applyFill="0"/>
    <xf numFmtId="0" fontId="7" fillId="0" borderId="0" applyNumberFormat="0" applyFont="0" applyFill="0" applyBorder="0" applyAlignment="0"/>
    <xf numFmtId="0" fontId="12" fillId="0" borderId="0" applyFill="0">
      <alignment horizontal="left" indent="2"/>
    </xf>
    <xf numFmtId="0" fontId="9" fillId="0" borderId="0" applyFill="0">
      <alignment horizontal="left" indent="2"/>
    </xf>
    <xf numFmtId="4" fontId="15" fillId="0" borderId="0" applyFill="0"/>
    <xf numFmtId="0" fontId="7" fillId="0" borderId="0" applyNumberFormat="0" applyFont="0" applyBorder="0" applyAlignment="0"/>
    <xf numFmtId="0" fontId="42" fillId="0" borderId="0">
      <alignment horizontal="left" indent="3"/>
    </xf>
    <xf numFmtId="0" fontId="43" fillId="0" borderId="0" applyFill="0">
      <alignment horizontal="left" indent="3"/>
    </xf>
    <xf numFmtId="4" fontId="15" fillId="0" borderId="0" applyFill="0"/>
    <xf numFmtId="0" fontId="7" fillId="0" borderId="0" applyNumberFormat="0" applyFont="0" applyBorder="0" applyAlignment="0"/>
    <xf numFmtId="0" fontId="16" fillId="0" borderId="0">
      <alignment horizontal="left" indent="4"/>
    </xf>
    <xf numFmtId="0" fontId="7" fillId="0" borderId="0" applyFill="0">
      <alignment horizontal="left" indent="4"/>
    </xf>
    <xf numFmtId="4" fontId="17" fillId="0" borderId="0" applyFill="0"/>
    <xf numFmtId="0" fontId="7" fillId="0" borderId="0" applyNumberFormat="0" applyFont="0" applyBorder="0" applyAlignment="0"/>
    <xf numFmtId="0" fontId="18" fillId="0" borderId="0">
      <alignment horizontal="left" indent="5"/>
    </xf>
    <xf numFmtId="0" fontId="19" fillId="0" borderId="0" applyFill="0">
      <alignment horizontal="left" indent="5"/>
    </xf>
    <xf numFmtId="4" fontId="20" fillId="0" borderId="0" applyFill="0"/>
    <xf numFmtId="0" fontId="7" fillId="0" borderId="0" applyNumberFormat="0" applyFont="0" applyFill="0" applyBorder="0" applyAlignment="0"/>
    <xf numFmtId="0" fontId="21" fillId="0" borderId="0" applyFill="0">
      <alignment horizontal="left" indent="6"/>
    </xf>
    <xf numFmtId="0" fontId="17" fillId="0" borderId="0" applyFill="0">
      <alignment horizontal="left" indent="6"/>
    </xf>
    <xf numFmtId="0" fontId="44" fillId="0" borderId="0" applyNumberFormat="0" applyFill="0" applyBorder="0" applyAlignment="0" applyProtection="0"/>
    <xf numFmtId="0" fontId="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</cellStyleXfs>
  <cellXfs count="515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170" fontId="7" fillId="0" borderId="0" xfId="59" applyNumberFormat="1" applyFont="1"/>
    <xf numFmtId="0" fontId="7" fillId="0" borderId="0" xfId="0" applyFont="1" applyBorder="1"/>
    <xf numFmtId="0" fontId="47" fillId="0" borderId="0" xfId="0" applyFont="1" applyFill="1"/>
    <xf numFmtId="0" fontId="0" fillId="0" borderId="0" xfId="0" applyAlignment="1">
      <alignment wrapText="1"/>
    </xf>
    <xf numFmtId="0" fontId="0" fillId="0" borderId="0" xfId="0" applyBorder="1"/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170" fontId="1" fillId="0" borderId="0" xfId="59" applyNumberFormat="1"/>
    <xf numFmtId="0" fontId="7" fillId="0" borderId="0" xfId="117" applyNumberFormat="1" applyFont="1" applyBorder="1" applyAlignment="1" applyProtection="1">
      <protection locked="0"/>
    </xf>
    <xf numFmtId="3" fontId="7" fillId="0" borderId="0" xfId="117" applyNumberFormat="1" applyFont="1" applyAlignment="1" applyProtection="1">
      <protection locked="0"/>
    </xf>
    <xf numFmtId="10" fontId="7" fillId="0" borderId="0" xfId="117" applyNumberFormat="1" applyFont="1" applyAlignment="1" applyProtection="1">
      <protection locked="0"/>
    </xf>
    <xf numFmtId="166" fontId="7" fillId="0" borderId="0" xfId="117" applyNumberFormat="1" applyFont="1" applyAlignment="1" applyProtection="1">
      <protection locked="0"/>
    </xf>
    <xf numFmtId="43" fontId="7" fillId="0" borderId="0" xfId="59" applyFont="1" applyAlignment="1" applyProtection="1">
      <protection locked="0"/>
    </xf>
    <xf numFmtId="169" fontId="7" fillId="0" borderId="0" xfId="117" applyFont="1" applyAlignment="1" applyProtection="1">
      <protection locked="0"/>
    </xf>
    <xf numFmtId="169" fontId="7" fillId="0" borderId="0" xfId="117" applyFont="1" applyBorder="1" applyAlignment="1" applyProtection="1">
      <protection locked="0"/>
    </xf>
    <xf numFmtId="0" fontId="7" fillId="0" borderId="0" xfId="0" applyFont="1" applyFill="1"/>
    <xf numFmtId="0" fontId="7" fillId="26" borderId="0" xfId="59" applyNumberFormat="1" applyFont="1" applyFill="1" applyAlignment="1" applyProtection="1">
      <protection locked="0"/>
    </xf>
    <xf numFmtId="10" fontId="7" fillId="0" borderId="0" xfId="117" applyNumberFormat="1" applyFont="1" applyFill="1" applyAlignment="1" applyProtection="1">
      <alignment horizontal="right"/>
      <protection locked="0"/>
    </xf>
    <xf numFmtId="3" fontId="39" fillId="0" borderId="0" xfId="117" applyNumberFormat="1" applyFont="1" applyAlignment="1" applyProtection="1">
      <protection locked="0"/>
    </xf>
    <xf numFmtId="0" fontId="7" fillId="0" borderId="0" xfId="0" applyFont="1" applyFill="1" applyBorder="1"/>
    <xf numFmtId="3" fontId="48" fillId="0" borderId="0" xfId="117" applyNumberFormat="1" applyFont="1" applyAlignment="1" applyProtection="1">
      <alignment horizontal="center"/>
      <protection locked="0"/>
    </xf>
    <xf numFmtId="10" fontId="48" fillId="0" borderId="0" xfId="117" applyNumberFormat="1" applyFont="1" applyFill="1" applyAlignment="1" applyProtection="1">
      <alignment horizontal="center"/>
      <protection locked="0"/>
    </xf>
    <xf numFmtId="0" fontId="7" fillId="0" borderId="0" xfId="117" applyNumberFormat="1" applyFont="1" applyFill="1" applyBorder="1" applyAlignment="1" applyProtection="1">
      <alignment horizontal="right"/>
      <protection locked="0"/>
    </xf>
    <xf numFmtId="10" fontId="0" fillId="0" borderId="0" xfId="0" applyNumberFormat="1" applyAlignment="1">
      <alignment horizontal="center"/>
    </xf>
    <xf numFmtId="166" fontId="7" fillId="0" borderId="0" xfId="117" applyNumberFormat="1" applyFont="1" applyAlignment="1" applyProtection="1">
      <alignment horizontal="center"/>
      <protection locked="0"/>
    </xf>
    <xf numFmtId="167" fontId="7" fillId="0" borderId="0" xfId="117" applyNumberFormat="1" applyFont="1" applyFill="1" applyAlignment="1" applyProtection="1">
      <protection locked="0"/>
    </xf>
    <xf numFmtId="165" fontId="7" fillId="0" borderId="0" xfId="117" applyNumberFormat="1" applyFont="1" applyAlignment="1" applyProtection="1">
      <alignment horizontal="center"/>
      <protection locked="0"/>
    </xf>
    <xf numFmtId="165" fontId="7" fillId="0" borderId="0" xfId="117" applyNumberFormat="1" applyFont="1" applyBorder="1" applyAlignment="1" applyProtection="1">
      <alignment horizontal="center"/>
      <protection locked="0"/>
    </xf>
    <xf numFmtId="169" fontId="7" fillId="0" borderId="13" xfId="117" applyFont="1" applyBorder="1" applyAlignment="1" applyProtection="1">
      <protection locked="0"/>
    </xf>
    <xf numFmtId="0" fontId="7" fillId="0" borderId="0" xfId="117" applyNumberFormat="1" applyFont="1" applyBorder="1" applyAlignment="1" applyProtection="1">
      <alignment horizontal="center"/>
      <protection locked="0"/>
    </xf>
    <xf numFmtId="3" fontId="7" fillId="0" borderId="14" xfId="117" applyNumberFormat="1" applyFont="1" applyBorder="1" applyAlignment="1" applyProtection="1">
      <protection locked="0"/>
    </xf>
    <xf numFmtId="0" fontId="7" fillId="0" borderId="0" xfId="117" applyNumberFormat="1" applyFont="1" applyAlignment="1" applyProtection="1">
      <alignment horizontal="center"/>
      <protection locked="0"/>
    </xf>
    <xf numFmtId="41" fontId="7" fillId="0" borderId="0" xfId="117" applyNumberFormat="1" applyFont="1" applyAlignment="1" applyProtection="1">
      <protection locked="0"/>
    </xf>
    <xf numFmtId="41" fontId="7" fillId="0" borderId="0" xfId="117" applyNumberFormat="1" applyFont="1" applyAlignment="1" applyProtection="1">
      <alignment horizontal="center"/>
      <protection locked="0"/>
    </xf>
    <xf numFmtId="41" fontId="7" fillId="0" borderId="0" xfId="117" applyNumberFormat="1" applyFont="1" applyBorder="1" applyAlignment="1" applyProtection="1">
      <alignment horizontal="center"/>
      <protection locked="0"/>
    </xf>
    <xf numFmtId="0" fontId="0" fillId="0" borderId="13" xfId="0" applyBorder="1"/>
    <xf numFmtId="0" fontId="0" fillId="0" borderId="14" xfId="0" applyBorder="1"/>
    <xf numFmtId="0" fontId="7" fillId="0" borderId="0" xfId="117" applyNumberFormat="1" applyFont="1" applyBorder="1" applyAlignment="1" applyProtection="1">
      <alignment horizontal="right"/>
      <protection locked="0"/>
    </xf>
    <xf numFmtId="167" fontId="48" fillId="0" borderId="0" xfId="117" applyNumberFormat="1" applyFont="1" applyFill="1" applyAlignment="1" applyProtection="1">
      <protection locked="0"/>
    </xf>
    <xf numFmtId="165" fontId="15" fillId="0" borderId="15" xfId="117" applyNumberFormat="1" applyFont="1" applyBorder="1" applyAlignment="1" applyProtection="1">
      <alignment horizontal="center"/>
      <protection locked="0"/>
    </xf>
    <xf numFmtId="0" fontId="7" fillId="0" borderId="6" xfId="117" applyNumberFormat="1" applyFont="1" applyBorder="1" applyAlignment="1" applyProtection="1">
      <alignment horizontal="center"/>
      <protection locked="0"/>
    </xf>
    <xf numFmtId="170" fontId="7" fillId="0" borderId="6" xfId="117" applyNumberFormat="1" applyFont="1" applyBorder="1" applyAlignment="1" applyProtection="1">
      <alignment horizontal="center"/>
      <protection locked="0"/>
    </xf>
    <xf numFmtId="171" fontId="0" fillId="0" borderId="16" xfId="0" applyNumberFormat="1" applyBorder="1"/>
    <xf numFmtId="3" fontId="7" fillId="0" borderId="0" xfId="117" applyNumberFormat="1" applyFont="1" applyAlignment="1" applyProtection="1">
      <alignment horizontal="right"/>
      <protection locked="0"/>
    </xf>
    <xf numFmtId="10" fontId="7" fillId="0" borderId="0" xfId="117" applyNumberFormat="1" applyFont="1" applyFill="1" applyAlignment="1" applyProtection="1">
      <alignment horizontal="left"/>
      <protection locked="0"/>
    </xf>
    <xf numFmtId="41" fontId="7" fillId="0" borderId="0" xfId="117" applyNumberFormat="1" applyFont="1" applyBorder="1" applyAlignment="1" applyProtection="1">
      <protection locked="0"/>
    </xf>
    <xf numFmtId="0" fontId="39" fillId="0" borderId="0" xfId="0" applyFont="1"/>
    <xf numFmtId="41" fontId="7" fillId="0" borderId="0" xfId="117" applyNumberFormat="1" applyFont="1" applyFill="1" applyAlignment="1" applyProtection="1">
      <protection locked="0"/>
    </xf>
    <xf numFmtId="170" fontId="0" fillId="0" borderId="0" xfId="0" applyNumberFormat="1"/>
    <xf numFmtId="41" fontId="7" fillId="0" borderId="0" xfId="117" quotePrefix="1" applyNumberFormat="1" applyFont="1" applyBorder="1" applyAlignment="1" applyProtection="1">
      <protection locked="0"/>
    </xf>
    <xf numFmtId="41" fontId="7" fillId="0" borderId="0" xfId="117" applyNumberFormat="1" applyFont="1" applyFill="1" applyBorder="1" applyAlignment="1" applyProtection="1">
      <alignment horizontal="right"/>
      <protection locked="0"/>
    </xf>
    <xf numFmtId="172" fontId="7" fillId="0" borderId="11" xfId="117" applyNumberFormat="1" applyFont="1" applyBorder="1" applyAlignment="1" applyProtection="1">
      <protection locked="0"/>
    </xf>
    <xf numFmtId="164" fontId="7" fillId="0" borderId="0" xfId="117" applyNumberFormat="1" applyFont="1" applyFill="1" applyBorder="1" applyAlignment="1" applyProtection="1">
      <alignment horizontal="left"/>
      <protection locked="0"/>
    </xf>
    <xf numFmtId="164" fontId="7" fillId="0" borderId="0" xfId="117" applyNumberFormat="1" applyFont="1" applyBorder="1" applyAlignment="1" applyProtection="1">
      <alignment horizontal="left"/>
      <protection locked="0"/>
    </xf>
    <xf numFmtId="3" fontId="7" fillId="0" borderId="0" xfId="117" applyNumberFormat="1" applyFont="1" applyAlignment="1" applyProtection="1">
      <alignment vertical="center" wrapText="1"/>
      <protection locked="0"/>
    </xf>
    <xf numFmtId="41" fontId="7" fillId="0" borderId="0" xfId="117" applyNumberFormat="1" applyFont="1" applyBorder="1" applyAlignment="1" applyProtection="1">
      <alignment vertical="center"/>
      <protection locked="0"/>
    </xf>
    <xf numFmtId="41" fontId="7" fillId="0" borderId="0" xfId="117" applyNumberFormat="1" applyFont="1" applyBorder="1" applyAlignment="1" applyProtection="1">
      <alignment horizontal="center" vertical="center"/>
      <protection locked="0"/>
    </xf>
    <xf numFmtId="41" fontId="7" fillId="0" borderId="0" xfId="117" applyNumberFormat="1" applyFont="1" applyAlignment="1" applyProtection="1">
      <alignment horizontal="right"/>
      <protection locked="0"/>
    </xf>
    <xf numFmtId="10" fontId="7" fillId="0" borderId="0" xfId="0" applyNumberFormat="1" applyFont="1" applyBorder="1"/>
    <xf numFmtId="0" fontId="7" fillId="0" borderId="0" xfId="0" applyFont="1" applyFill="1" applyAlignment="1">
      <alignment horizontal="center"/>
    </xf>
    <xf numFmtId="41" fontId="7" fillId="0" borderId="0" xfId="0" applyNumberFormat="1" applyFont="1"/>
    <xf numFmtId="0" fontId="7" fillId="0" borderId="0" xfId="0" applyFont="1" applyFill="1" applyBorder="1" applyAlignment="1"/>
    <xf numFmtId="3" fontId="14" fillId="0" borderId="0" xfId="117" applyNumberFormat="1" applyFont="1" applyFill="1" applyBorder="1" applyAlignment="1" applyProtection="1">
      <protection locked="0"/>
    </xf>
    <xf numFmtId="41" fontId="7" fillId="0" borderId="11" xfId="117" applyNumberFormat="1" applyFont="1" applyFill="1" applyBorder="1" applyAlignment="1" applyProtection="1">
      <protection locked="0"/>
    </xf>
    <xf numFmtId="3" fontId="14" fillId="0" borderId="0" xfId="117" applyNumberFormat="1" applyFont="1" applyFill="1" applyBorder="1" applyAlignment="1" applyProtection="1">
      <alignment horizontal="center"/>
      <protection locked="0"/>
    </xf>
    <xf numFmtId="41" fontId="7" fillId="0" borderId="0" xfId="117" applyNumberFormat="1" applyFont="1" applyFill="1" applyBorder="1" applyAlignment="1" applyProtection="1">
      <protection locked="0"/>
    </xf>
    <xf numFmtId="41" fontId="14" fillId="0" borderId="0" xfId="117" applyNumberFormat="1" applyFont="1" applyFill="1" applyBorder="1" applyAlignment="1" applyProtection="1">
      <protection locked="0"/>
    </xf>
    <xf numFmtId="0" fontId="14" fillId="0" borderId="0" xfId="117" applyNumberFormat="1" applyFont="1" applyFill="1" applyBorder="1" applyAlignment="1" applyProtection="1">
      <protection locked="0"/>
    </xf>
    <xf numFmtId="0" fontId="6" fillId="0" borderId="0" xfId="0" applyFont="1" applyFill="1"/>
    <xf numFmtId="0" fontId="14" fillId="0" borderId="0" xfId="117" applyNumberFormat="1" applyFont="1" applyFill="1" applyBorder="1" applyProtection="1">
      <protection locked="0"/>
    </xf>
    <xf numFmtId="0" fontId="7" fillId="0" borderId="0" xfId="117" applyNumberFormat="1" applyFont="1" applyFill="1" applyBorder="1" applyAlignment="1" applyProtection="1">
      <protection locked="0"/>
    </xf>
    <xf numFmtId="3" fontId="7" fillId="0" borderId="0" xfId="117" applyNumberFormat="1" applyFont="1" applyFill="1" applyBorder="1" applyAlignment="1" applyProtection="1">
      <protection locked="0"/>
    </xf>
    <xf numFmtId="41" fontId="7" fillId="0" borderId="0" xfId="117" applyNumberFormat="1" applyFont="1" applyFill="1" applyBorder="1" applyAlignment="1" applyProtection="1">
      <alignment horizontal="center"/>
      <protection locked="0"/>
    </xf>
    <xf numFmtId="0" fontId="7" fillId="0" borderId="0" xfId="117" applyNumberFormat="1" applyFont="1" applyFill="1" applyBorder="1" applyProtection="1">
      <protection locked="0"/>
    </xf>
    <xf numFmtId="3" fontId="7" fillId="0" borderId="0" xfId="117" applyNumberFormat="1" applyFont="1" applyFill="1" applyBorder="1" applyAlignment="1" applyProtection="1">
      <alignment horizontal="center"/>
      <protection locked="0"/>
    </xf>
    <xf numFmtId="0" fontId="7" fillId="0" borderId="0" xfId="117" applyNumberFormat="1" applyFont="1" applyFill="1" applyBorder="1" applyAlignment="1" applyProtection="1">
      <alignment horizontal="center"/>
      <protection locked="0"/>
    </xf>
    <xf numFmtId="10" fontId="7" fillId="0" borderId="0" xfId="117" applyNumberFormat="1" applyFont="1" applyFill="1" applyBorder="1" applyAlignment="1" applyProtection="1">
      <protection locked="0"/>
    </xf>
    <xf numFmtId="167" fontId="7" fillId="0" borderId="0" xfId="117" applyNumberFormat="1" applyFont="1" applyFill="1" applyBorder="1" applyAlignment="1" applyProtection="1">
      <protection locked="0"/>
    </xf>
    <xf numFmtId="169" fontId="7" fillId="0" borderId="0" xfId="117" applyFont="1" applyFill="1" applyBorder="1" applyAlignment="1" applyProtection="1">
      <protection locked="0"/>
    </xf>
    <xf numFmtId="3" fontId="7" fillId="0" borderId="0" xfId="117" quotePrefix="1" applyNumberFormat="1" applyFont="1" applyFill="1" applyBorder="1" applyAlignment="1" applyProtection="1">
      <protection locked="0"/>
    </xf>
    <xf numFmtId="3" fontId="39" fillId="0" borderId="0" xfId="117" applyNumberFormat="1" applyFont="1" applyFill="1" applyBorder="1" applyAlignment="1" applyProtection="1">
      <alignment horizontal="right"/>
      <protection locked="0"/>
    </xf>
    <xf numFmtId="167" fontId="39" fillId="0" borderId="0" xfId="117" applyNumberFormat="1" applyFont="1" applyFill="1" applyBorder="1" applyAlignment="1" applyProtection="1">
      <protection locked="0"/>
    </xf>
    <xf numFmtId="3" fontId="39" fillId="0" borderId="0" xfId="117" quotePrefix="1" applyNumberFormat="1" applyFont="1" applyFill="1" applyBorder="1" applyAlignment="1" applyProtection="1">
      <protection locked="0"/>
    </xf>
    <xf numFmtId="0" fontId="7" fillId="0" borderId="0" xfId="0" applyFont="1" applyFill="1" applyBorder="1" applyAlignment="1">
      <alignment horizontal="center"/>
    </xf>
    <xf numFmtId="41" fontId="7" fillId="0" borderId="0" xfId="0" applyNumberFormat="1" applyFont="1" applyFill="1" applyBorder="1"/>
    <xf numFmtId="170" fontId="7" fillId="0" borderId="0" xfId="59" applyNumberFormat="1" applyFont="1" applyFill="1" applyBorder="1"/>
    <xf numFmtId="41" fontId="48" fillId="0" borderId="0" xfId="117" applyNumberFormat="1" applyFont="1" applyFill="1" applyBorder="1" applyAlignment="1" applyProtection="1">
      <protection locked="0"/>
    </xf>
    <xf numFmtId="0" fontId="0" fillId="0" borderId="0" xfId="0" applyAlignment="1"/>
    <xf numFmtId="41" fontId="7" fillId="0" borderId="11" xfId="0" applyNumberFormat="1" applyFont="1" applyFill="1" applyBorder="1"/>
    <xf numFmtId="41" fontId="7" fillId="0" borderId="0" xfId="0" applyNumberFormat="1" applyFont="1" applyBorder="1"/>
    <xf numFmtId="41" fontId="48" fillId="0" borderId="0" xfId="0" applyNumberFormat="1" applyFont="1"/>
    <xf numFmtId="0" fontId="9" fillId="0" borderId="0" xfId="0" applyFont="1" applyFill="1" applyAlignment="1">
      <alignment horizontal="left"/>
    </xf>
    <xf numFmtId="0" fontId="0" fillId="0" borderId="0" xfId="0" applyFill="1" applyAlignment="1"/>
    <xf numFmtId="41" fontId="7" fillId="0" borderId="0" xfId="0" applyNumberFormat="1" applyFont="1" applyFill="1"/>
    <xf numFmtId="170" fontId="7" fillId="0" borderId="0" xfId="59" applyNumberFormat="1" applyFont="1" applyFill="1"/>
    <xf numFmtId="10" fontId="7" fillId="0" borderId="11" xfId="0" applyNumberFormat="1" applyFont="1" applyFill="1" applyBorder="1"/>
    <xf numFmtId="9" fontId="7" fillId="0" borderId="11" xfId="120" applyFont="1" applyFill="1" applyBorder="1"/>
    <xf numFmtId="170" fontId="7" fillId="0" borderId="11" xfId="59" applyNumberFormat="1" applyFont="1" applyFill="1" applyBorder="1" applyAlignment="1"/>
    <xf numFmtId="41" fontId="0" fillId="0" borderId="0" xfId="0" applyNumberFormat="1"/>
    <xf numFmtId="41" fontId="7" fillId="0" borderId="11" xfId="0" applyNumberFormat="1" applyFont="1" applyBorder="1"/>
    <xf numFmtId="10" fontId="7" fillId="0" borderId="0" xfId="0" applyNumberFormat="1" applyFont="1"/>
    <xf numFmtId="10" fontId="48" fillId="0" borderId="0" xfId="0" applyNumberFormat="1" applyFont="1"/>
    <xf numFmtId="0" fontId="7" fillId="0" borderId="0" xfId="0" applyFont="1" applyFill="1" applyBorder="1" applyAlignment="1">
      <alignment wrapText="1"/>
    </xf>
    <xf numFmtId="170" fontId="7" fillId="0" borderId="11" xfId="59" applyNumberFormat="1" applyFont="1" applyFill="1" applyBorder="1"/>
    <xf numFmtId="0" fontId="0" fillId="0" borderId="0" xfId="0" applyFill="1"/>
    <xf numFmtId="174" fontId="7" fillId="0" borderId="0" xfId="0" applyNumberFormat="1" applyFont="1"/>
    <xf numFmtId="43" fontId="7" fillId="0" borderId="0" xfId="59" applyFont="1"/>
    <xf numFmtId="43" fontId="7" fillId="0" borderId="0" xfId="59" applyNumberFormat="1" applyFont="1"/>
    <xf numFmtId="170" fontId="7" fillId="0" borderId="0" xfId="0" applyNumberFormat="1" applyFont="1"/>
    <xf numFmtId="0" fontId="50" fillId="0" borderId="0" xfId="0" applyFont="1"/>
    <xf numFmtId="0" fontId="46" fillId="0" borderId="0" xfId="0" applyFont="1" applyAlignment="1">
      <alignment horizontal="right"/>
    </xf>
    <xf numFmtId="0" fontId="46" fillId="0" borderId="0" xfId="0" applyFont="1" applyFill="1" applyAlignment="1">
      <alignment horizontal="right"/>
    </xf>
    <xf numFmtId="170" fontId="7" fillId="0" borderId="0" xfId="59" applyNumberFormat="1" applyFont="1" applyBorder="1"/>
    <xf numFmtId="0" fontId="39" fillId="0" borderId="0" xfId="0" applyFont="1" applyAlignment="1">
      <alignment horizontal="left"/>
    </xf>
    <xf numFmtId="0" fontId="51" fillId="27" borderId="0" xfId="59" applyNumberFormat="1" applyFont="1" applyFill="1" applyAlignment="1">
      <alignment horizontal="left"/>
    </xf>
    <xf numFmtId="0" fontId="39" fillId="0" borderId="17" xfId="0" applyFont="1" applyBorder="1"/>
    <xf numFmtId="0" fontId="39" fillId="0" borderId="18" xfId="0" applyFont="1" applyBorder="1"/>
    <xf numFmtId="0" fontId="7" fillId="0" borderId="18" xfId="0" applyFont="1" applyBorder="1"/>
    <xf numFmtId="170" fontId="39" fillId="0" borderId="19" xfId="59" applyNumberFormat="1" applyFont="1" applyBorder="1"/>
    <xf numFmtId="0" fontId="14" fillId="0" borderId="0" xfId="59" applyNumberFormat="1" applyFont="1" applyFill="1" applyAlignment="1">
      <alignment horizontal="left"/>
    </xf>
    <xf numFmtId="0" fontId="14" fillId="0" borderId="0" xfId="59" applyNumberFormat="1" applyFont="1" applyFill="1" applyBorder="1" applyAlignment="1">
      <alignment horizontal="left"/>
    </xf>
    <xf numFmtId="0" fontId="39" fillId="0" borderId="13" xfId="0" applyFont="1" applyBorder="1"/>
    <xf numFmtId="0" fontId="9" fillId="0" borderId="0" xfId="59" applyNumberFormat="1" applyFont="1" applyFill="1" applyBorder="1" applyAlignment="1">
      <alignment horizontal="left"/>
    </xf>
    <xf numFmtId="170" fontId="39" fillId="0" borderId="20" xfId="59" applyNumberFormat="1" applyFont="1" applyBorder="1"/>
    <xf numFmtId="0" fontId="39" fillId="0" borderId="0" xfId="0" applyFont="1" applyFill="1"/>
    <xf numFmtId="170" fontId="39" fillId="0" borderId="15" xfId="59" applyNumberFormat="1" applyFont="1" applyBorder="1"/>
    <xf numFmtId="170" fontId="7" fillId="0" borderId="6" xfId="59" applyNumberFormat="1" applyFont="1" applyBorder="1"/>
    <xf numFmtId="170" fontId="7" fillId="0" borderId="16" xfId="59" applyNumberFormat="1" applyFont="1" applyBorder="1"/>
    <xf numFmtId="0" fontId="53" fillId="0" borderId="0" xfId="0" applyFont="1" applyFill="1" applyAlignment="1"/>
    <xf numFmtId="0" fontId="7" fillId="0" borderId="0" xfId="0" applyFont="1" applyFill="1" applyAlignment="1">
      <alignment wrapText="1"/>
    </xf>
    <xf numFmtId="0" fontId="39" fillId="0" borderId="21" xfId="0" applyFont="1" applyFill="1" applyBorder="1" applyAlignment="1">
      <alignment horizontal="center"/>
    </xf>
    <xf numFmtId="0" fontId="39" fillId="0" borderId="22" xfId="0" applyFont="1" applyFill="1" applyBorder="1" applyAlignment="1">
      <alignment horizontal="center"/>
    </xf>
    <xf numFmtId="0" fontId="39" fillId="0" borderId="23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0" fillId="0" borderId="0" xfId="0" applyBorder="1" applyAlignment="1"/>
    <xf numFmtId="170" fontId="54" fillId="27" borderId="14" xfId="59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39" fillId="0" borderId="19" xfId="0" applyFont="1" applyFill="1" applyBorder="1" applyAlignment="1">
      <alignment horizontal="center"/>
    </xf>
    <xf numFmtId="0" fontId="7" fillId="0" borderId="13" xfId="0" applyFont="1" applyFill="1" applyBorder="1"/>
    <xf numFmtId="0" fontId="54" fillId="27" borderId="14" xfId="0" applyFont="1" applyFill="1" applyBorder="1" applyAlignment="1">
      <alignment horizontal="right"/>
    </xf>
    <xf numFmtId="170" fontId="7" fillId="0" borderId="14" xfId="0" applyNumberFormat="1" applyFont="1" applyFill="1" applyBorder="1" applyAlignment="1">
      <alignment horizontal="right"/>
    </xf>
    <xf numFmtId="170" fontId="7" fillId="0" borderId="0" xfId="0" applyNumberFormat="1" applyFont="1" applyFill="1" applyBorder="1" applyAlignment="1">
      <alignment horizontal="right"/>
    </xf>
    <xf numFmtId="10" fontId="7" fillId="0" borderId="14" xfId="0" applyNumberFormat="1" applyFont="1" applyBorder="1"/>
    <xf numFmtId="10" fontId="7" fillId="0" borderId="0" xfId="0" applyNumberFormat="1" applyFont="1" applyFill="1" applyBorder="1"/>
    <xf numFmtId="170" fontId="7" fillId="0" borderId="14" xfId="59" applyNumberFormat="1" applyFont="1" applyBorder="1"/>
    <xf numFmtId="0" fontId="39" fillId="0" borderId="24" xfId="0" applyFont="1" applyBorder="1" applyAlignment="1">
      <alignment horizontal="center"/>
    </xf>
    <xf numFmtId="170" fontId="39" fillId="0" borderId="24" xfId="59" applyNumberFormat="1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170" fontId="39" fillId="0" borderId="24" xfId="59" applyNumberFormat="1" applyFont="1" applyBorder="1" applyAlignment="1">
      <alignment horizontal="center" wrapText="1"/>
    </xf>
    <xf numFmtId="0" fontId="39" fillId="0" borderId="26" xfId="0" applyFont="1" applyBorder="1" applyAlignment="1">
      <alignment horizontal="center"/>
    </xf>
    <xf numFmtId="170" fontId="39" fillId="0" borderId="16" xfId="59" applyNumberFormat="1" applyFont="1" applyBorder="1" applyAlignment="1">
      <alignment horizontal="center"/>
    </xf>
    <xf numFmtId="0" fontId="39" fillId="0" borderId="26" xfId="0" applyFont="1" applyFill="1" applyBorder="1" applyAlignment="1">
      <alignment horizontal="center"/>
    </xf>
    <xf numFmtId="0" fontId="39" fillId="0" borderId="25" xfId="0" applyFont="1" applyFill="1" applyBorder="1" applyAlignment="1">
      <alignment horizontal="center"/>
    </xf>
    <xf numFmtId="170" fontId="39" fillId="0" borderId="26" xfId="59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170" fontId="7" fillId="0" borderId="0" xfId="0" applyNumberFormat="1" applyFont="1" applyBorder="1"/>
    <xf numFmtId="170" fontId="7" fillId="0" borderId="24" xfId="59" applyNumberFormat="1" applyFont="1" applyBorder="1"/>
    <xf numFmtId="171" fontId="7" fillId="0" borderId="14" xfId="0" applyNumberFormat="1" applyFont="1" applyBorder="1"/>
    <xf numFmtId="171" fontId="7" fillId="0" borderId="24" xfId="0" applyNumberFormat="1" applyFont="1" applyBorder="1"/>
    <xf numFmtId="171" fontId="7" fillId="0" borderId="25" xfId="0" applyNumberFormat="1" applyFont="1" applyBorder="1"/>
    <xf numFmtId="170" fontId="7" fillId="0" borderId="25" xfId="0" applyNumberFormat="1" applyFont="1" applyBorder="1"/>
    <xf numFmtId="170" fontId="1" fillId="0" borderId="25" xfId="59" applyNumberFormat="1" applyBorder="1"/>
    <xf numFmtId="170" fontId="7" fillId="0" borderId="25" xfId="59" applyNumberFormat="1" applyFont="1" applyBorder="1"/>
    <xf numFmtId="170" fontId="7" fillId="0" borderId="25" xfId="0" applyNumberFormat="1" applyFont="1" applyFill="1" applyBorder="1"/>
    <xf numFmtId="170" fontId="7" fillId="0" borderId="25" xfId="59" applyNumberFormat="1" applyFont="1" applyFill="1" applyBorder="1"/>
    <xf numFmtId="0" fontId="7" fillId="0" borderId="26" xfId="0" applyNumberFormat="1" applyFont="1" applyBorder="1" applyAlignment="1">
      <alignment horizontal="center"/>
    </xf>
    <xf numFmtId="170" fontId="7" fillId="0" borderId="26" xfId="0" applyNumberFormat="1" applyFont="1" applyBorder="1"/>
    <xf numFmtId="170" fontId="1" fillId="0" borderId="26" xfId="59" applyNumberFormat="1" applyBorder="1"/>
    <xf numFmtId="170" fontId="7" fillId="0" borderId="26" xfId="59" applyNumberFormat="1" applyFont="1" applyFill="1" applyBorder="1"/>
    <xf numFmtId="171" fontId="7" fillId="0" borderId="16" xfId="0" applyNumberFormat="1" applyFont="1" applyBorder="1"/>
    <xf numFmtId="171" fontId="7" fillId="0" borderId="26" xfId="0" applyNumberFormat="1" applyFont="1" applyBorder="1"/>
    <xf numFmtId="0" fontId="53" fillId="0" borderId="0" xfId="0" applyFont="1" applyFill="1"/>
    <xf numFmtId="171" fontId="7" fillId="0" borderId="0" xfId="0" applyNumberFormat="1" applyFont="1" applyBorder="1"/>
    <xf numFmtId="171" fontId="7" fillId="0" borderId="24" xfId="0" applyNumberFormat="1" applyFont="1" applyFill="1" applyBorder="1"/>
    <xf numFmtId="170" fontId="55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50" fillId="0" borderId="0" xfId="0" applyFont="1" applyFill="1"/>
    <xf numFmtId="0" fontId="7" fillId="0" borderId="0" xfId="59" applyNumberFormat="1" applyFont="1" applyFill="1" applyAlignment="1" applyProtection="1">
      <protection locked="0"/>
    </xf>
    <xf numFmtId="169" fontId="15" fillId="0" borderId="17" xfId="117" applyFont="1" applyBorder="1" applyAlignment="1" applyProtection="1">
      <protection locked="0"/>
    </xf>
    <xf numFmtId="169" fontId="7" fillId="0" borderId="18" xfId="117" applyFont="1" applyBorder="1" applyAlignment="1" applyProtection="1">
      <protection locked="0"/>
    </xf>
    <xf numFmtId="3" fontId="7" fillId="0" borderId="19" xfId="117" applyNumberFormat="1" applyFont="1" applyBorder="1" applyAlignment="1" applyProtection="1">
      <protection locked="0"/>
    </xf>
    <xf numFmtId="167" fontId="7" fillId="0" borderId="0" xfId="117" applyNumberFormat="1" applyFont="1" applyAlignment="1" applyProtection="1">
      <protection locked="0"/>
    </xf>
    <xf numFmtId="0" fontId="0" fillId="0" borderId="0" xfId="0" applyBorder="1" applyAlignment="1">
      <alignment horizontal="right"/>
    </xf>
    <xf numFmtId="171" fontId="0" fillId="0" borderId="0" xfId="0" applyNumberFormat="1" applyBorder="1"/>
    <xf numFmtId="171" fontId="0" fillId="0" borderId="14" xfId="0" applyNumberFormat="1" applyBorder="1"/>
    <xf numFmtId="171" fontId="0" fillId="0" borderId="6" xfId="0" applyNumberFormat="1" applyBorder="1"/>
    <xf numFmtId="167" fontId="48" fillId="0" borderId="0" xfId="117" applyNumberFormat="1" applyFont="1" applyAlignment="1" applyProtection="1">
      <protection locked="0"/>
    </xf>
    <xf numFmtId="170" fontId="0" fillId="0" borderId="0" xfId="0" applyNumberFormat="1" applyBorder="1"/>
    <xf numFmtId="170" fontId="0" fillId="0" borderId="19" xfId="0" applyNumberFormat="1" applyBorder="1"/>
    <xf numFmtId="173" fontId="7" fillId="0" borderId="0" xfId="117" applyNumberFormat="1" applyFont="1" applyAlignment="1" applyProtection="1">
      <protection locked="0"/>
    </xf>
    <xf numFmtId="165" fontId="7" fillId="0" borderId="15" xfId="117" applyNumberFormat="1" applyFont="1" applyBorder="1" applyAlignment="1" applyProtection="1">
      <alignment horizontal="center"/>
      <protection locked="0"/>
    </xf>
    <xf numFmtId="170" fontId="7" fillId="0" borderId="6" xfId="117" quotePrefix="1" applyNumberFormat="1" applyFont="1" applyBorder="1" applyAlignment="1" applyProtection="1">
      <alignment horizontal="center"/>
      <protection locked="0"/>
    </xf>
    <xf numFmtId="41" fontId="48" fillId="0" borderId="11" xfId="117" applyNumberFormat="1" applyFont="1" applyFill="1" applyBorder="1" applyAlignment="1" applyProtection="1">
      <protection locked="0"/>
    </xf>
    <xf numFmtId="9" fontId="7" fillId="0" borderId="0" xfId="120" applyFont="1" applyFill="1" applyBorder="1"/>
    <xf numFmtId="170" fontId="7" fillId="0" borderId="0" xfId="59" applyNumberFormat="1" applyFont="1" applyFill="1" applyBorder="1" applyAlignment="1"/>
    <xf numFmtId="41" fontId="56" fillId="0" borderId="0" xfId="0" applyNumberFormat="1" applyFont="1"/>
    <xf numFmtId="10" fontId="0" fillId="0" borderId="0" xfId="0" applyNumberFormat="1"/>
    <xf numFmtId="164" fontId="1" fillId="0" borderId="0" xfId="120" applyNumberFormat="1"/>
    <xf numFmtId="0" fontId="9" fillId="0" borderId="0" xfId="0" applyFont="1" applyFill="1"/>
    <xf numFmtId="170" fontId="39" fillId="0" borderId="0" xfId="59" applyNumberFormat="1" applyFont="1" applyBorder="1"/>
    <xf numFmtId="170" fontId="7" fillId="0" borderId="14" xfId="0" applyNumberFormat="1" applyFont="1" applyBorder="1"/>
    <xf numFmtId="170" fontId="39" fillId="0" borderId="11" xfId="59" applyNumberFormat="1" applyFont="1" applyBorder="1"/>
    <xf numFmtId="170" fontId="7" fillId="0" borderId="20" xfId="0" applyNumberFormat="1" applyFont="1" applyBorder="1"/>
    <xf numFmtId="0" fontId="7" fillId="0" borderId="15" xfId="0" applyFont="1" applyBorder="1"/>
    <xf numFmtId="170" fontId="39" fillId="0" borderId="6" xfId="59" applyNumberFormat="1" applyFont="1" applyFill="1" applyBorder="1" applyAlignment="1">
      <alignment horizontal="left"/>
    </xf>
    <xf numFmtId="170" fontId="39" fillId="0" borderId="16" xfId="59" applyNumberFormat="1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0" fillId="0" borderId="22" xfId="0" applyBorder="1" applyAlignment="1"/>
    <xf numFmtId="0" fontId="0" fillId="0" borderId="0" xfId="0" applyFill="1" applyBorder="1" applyAlignment="1"/>
    <xf numFmtId="0" fontId="7" fillId="0" borderId="6" xfId="0" applyFont="1" applyBorder="1" applyAlignment="1">
      <alignment horizontal="center"/>
    </xf>
    <xf numFmtId="0" fontId="0" fillId="0" borderId="6" xfId="0" applyBorder="1"/>
    <xf numFmtId="0" fontId="39" fillId="0" borderId="24" xfId="0" applyFont="1" applyBorder="1" applyAlignment="1">
      <alignment horizontal="center" wrapText="1"/>
    </xf>
    <xf numFmtId="170" fontId="39" fillId="0" borderId="0" xfId="59" applyNumberFormat="1" applyFont="1" applyBorder="1" applyAlignment="1">
      <alignment horizontal="center" wrapText="1"/>
    </xf>
    <xf numFmtId="0" fontId="39" fillId="0" borderId="25" xfId="0" applyFont="1" applyBorder="1" applyAlignment="1">
      <alignment horizontal="center" wrapText="1"/>
    </xf>
    <xf numFmtId="0" fontId="39" fillId="0" borderId="6" xfId="0" applyFont="1" applyBorder="1" applyAlignment="1">
      <alignment horizontal="center"/>
    </xf>
    <xf numFmtId="170" fontId="7" fillId="0" borderId="24" xfId="0" applyNumberFormat="1" applyFont="1" applyBorder="1"/>
    <xf numFmtId="170" fontId="7" fillId="0" borderId="6" xfId="0" applyNumberFormat="1" applyFont="1" applyBorder="1"/>
    <xf numFmtId="0" fontId="55" fillId="0" borderId="0" xfId="0" applyFont="1"/>
    <xf numFmtId="0" fontId="58" fillId="0" borderId="0" xfId="0" applyFont="1" applyFill="1"/>
    <xf numFmtId="170" fontId="7" fillId="0" borderId="14" xfId="59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right"/>
    </xf>
    <xf numFmtId="0" fontId="7" fillId="28" borderId="6" xfId="117" applyNumberFormat="1" applyFont="1" applyFill="1" applyBorder="1" applyAlignment="1" applyProtection="1">
      <alignment horizontal="center"/>
      <protection locked="0"/>
    </xf>
    <xf numFmtId="0" fontId="7" fillId="28" borderId="0" xfId="117" applyNumberFormat="1" applyFont="1" applyFill="1" applyBorder="1" applyAlignment="1" applyProtection="1">
      <alignment horizontal="center"/>
      <protection locked="0"/>
    </xf>
    <xf numFmtId="0" fontId="52" fillId="27" borderId="0" xfId="0" applyFont="1" applyFill="1" applyAlignment="1">
      <alignment horizontal="left"/>
    </xf>
    <xf numFmtId="0" fontId="39" fillId="0" borderId="22" xfId="0" applyFont="1" applyFill="1" applyBorder="1" applyAlignment="1"/>
    <xf numFmtId="0" fontId="61" fillId="28" borderId="22" xfId="0" applyFont="1" applyFill="1" applyBorder="1" applyAlignment="1">
      <alignment horizontal="center"/>
    </xf>
    <xf numFmtId="0" fontId="63" fillId="0" borderId="0" xfId="0" applyFont="1" applyAlignment="1">
      <alignment horizontal="center"/>
    </xf>
    <xf numFmtId="3" fontId="0" fillId="0" borderId="0" xfId="0" applyNumberFormat="1"/>
    <xf numFmtId="0" fontId="0" fillId="0" borderId="0" xfId="0" quotePrefix="1" applyAlignment="1">
      <alignment horizontal="left"/>
    </xf>
    <xf numFmtId="0" fontId="65" fillId="0" borderId="0" xfId="0" quotePrefix="1" applyFont="1" applyAlignment="1">
      <alignment horizontal="left"/>
    </xf>
    <xf numFmtId="0" fontId="0" fillId="0" borderId="27" xfId="0" applyBorder="1"/>
    <xf numFmtId="0" fontId="66" fillId="0" borderId="0" xfId="0" quotePrefix="1" applyFont="1" applyAlignment="1">
      <alignment horizontal="left"/>
    </xf>
    <xf numFmtId="0" fontId="64" fillId="0" borderId="0" xfId="0" quotePrefix="1" applyFont="1" applyAlignment="1">
      <alignment horizontal="left"/>
    </xf>
    <xf numFmtId="170" fontId="54" fillId="0" borderId="24" xfId="0" applyNumberFormat="1" applyFont="1" applyBorder="1"/>
    <xf numFmtId="170" fontId="54" fillId="0" borderId="25" xfId="0" applyNumberFormat="1" applyFont="1" applyBorder="1"/>
    <xf numFmtId="171" fontId="54" fillId="0" borderId="26" xfId="0" applyNumberFormat="1" applyFont="1" applyBorder="1"/>
    <xf numFmtId="0" fontId="39" fillId="0" borderId="0" xfId="0" quotePrefix="1" applyFont="1" applyAlignment="1">
      <alignment horizontal="left"/>
    </xf>
    <xf numFmtId="0" fontId="7" fillId="28" borderId="0" xfId="59" applyNumberFormat="1" applyFont="1" applyFill="1" applyAlignment="1" applyProtection="1">
      <protection locked="0"/>
    </xf>
    <xf numFmtId="171" fontId="54" fillId="0" borderId="25" xfId="0" applyNumberFormat="1" applyFont="1" applyBorder="1"/>
    <xf numFmtId="0" fontId="0" fillId="0" borderId="19" xfId="0" applyBorder="1"/>
    <xf numFmtId="0" fontId="54" fillId="0" borderId="14" xfId="0" applyFont="1" applyBorder="1"/>
    <xf numFmtId="0" fontId="54" fillId="0" borderId="16" xfId="0" applyFont="1" applyBorder="1"/>
    <xf numFmtId="0" fontId="46" fillId="0" borderId="0" xfId="0" applyFont="1" applyAlignment="1">
      <alignment horizontal="center"/>
    </xf>
    <xf numFmtId="0" fontId="0" fillId="0" borderId="23" xfId="0" applyBorder="1" applyAlignment="1"/>
    <xf numFmtId="0" fontId="68" fillId="0" borderId="0" xfId="0" quotePrefix="1" applyFont="1" applyAlignment="1">
      <alignment horizontal="left"/>
    </xf>
    <xf numFmtId="0" fontId="68" fillId="0" borderId="0" xfId="0" applyFont="1"/>
    <xf numFmtId="0" fontId="69" fillId="0" borderId="0" xfId="0" applyFont="1"/>
    <xf numFmtId="0" fontId="7" fillId="0" borderId="0" xfId="0" applyFont="1" applyAlignment="1">
      <alignment horizontal="left"/>
    </xf>
    <xf numFmtId="0" fontId="50" fillId="0" borderId="0" xfId="0" quotePrefix="1" applyFont="1" applyAlignment="1">
      <alignment horizontal="left"/>
    </xf>
    <xf numFmtId="0" fontId="46" fillId="0" borderId="0" xfId="0" quotePrefix="1" applyFont="1" applyAlignment="1">
      <alignment horizontal="center"/>
    </xf>
    <xf numFmtId="171" fontId="46" fillId="0" borderId="0" xfId="0" quotePrefix="1" applyNumberFormat="1" applyFont="1" applyBorder="1" applyAlignment="1">
      <alignment horizontal="center"/>
    </xf>
    <xf numFmtId="0" fontId="52" fillId="0" borderId="0" xfId="0" applyFont="1" applyAlignment="1">
      <alignment horizontal="left"/>
    </xf>
    <xf numFmtId="0" fontId="55" fillId="0" borderId="0" xfId="0" applyFont="1" applyFill="1" applyAlignment="1"/>
    <xf numFmtId="0" fontId="55" fillId="0" borderId="0" xfId="0" quotePrefix="1" applyFont="1" applyAlignment="1">
      <alignment horizontal="left"/>
    </xf>
    <xf numFmtId="0" fontId="67" fillId="0" borderId="0" xfId="0" applyFont="1" applyFill="1" applyAlignment="1">
      <alignment horizontal="right"/>
    </xf>
    <xf numFmtId="0" fontId="46" fillId="0" borderId="0" xfId="0" quotePrefix="1" applyFont="1" applyAlignment="1">
      <alignment horizontal="right"/>
    </xf>
    <xf numFmtId="0" fontId="39" fillId="0" borderId="28" xfId="0" applyFont="1" applyFill="1" applyBorder="1" applyAlignment="1">
      <alignment horizontal="center"/>
    </xf>
    <xf numFmtId="169" fontId="7" fillId="0" borderId="29" xfId="117" applyFont="1" applyBorder="1" applyAlignment="1" applyProtection="1">
      <alignment horizontal="center"/>
      <protection locked="0"/>
    </xf>
    <xf numFmtId="169" fontId="7" fillId="0" borderId="29" xfId="117" quotePrefix="1" applyFont="1" applyBorder="1" applyAlignment="1" applyProtection="1">
      <alignment horizontal="center"/>
      <protection locked="0"/>
    </xf>
    <xf numFmtId="3" fontId="7" fillId="0" borderId="30" xfId="117" applyNumberFormat="1" applyFont="1" applyBorder="1" applyAlignment="1" applyProtection="1">
      <alignment horizontal="center"/>
      <protection locked="0"/>
    </xf>
    <xf numFmtId="0" fontId="55" fillId="0" borderId="24" xfId="0" applyFont="1" applyBorder="1"/>
    <xf numFmtId="170" fontId="7" fillId="0" borderId="13" xfId="59" quotePrefix="1" applyNumberFormat="1" applyFont="1" applyBorder="1" applyAlignment="1">
      <alignment horizontal="right"/>
    </xf>
    <xf numFmtId="0" fontId="57" fillId="0" borderId="31" xfId="59" applyNumberFormat="1" applyFont="1" applyFill="1" applyBorder="1" applyAlignment="1">
      <alignment horizontal="left"/>
    </xf>
    <xf numFmtId="170" fontId="7" fillId="0" borderId="32" xfId="59" quotePrefix="1" applyNumberFormat="1" applyFont="1" applyBorder="1" applyAlignment="1">
      <alignment horizontal="right"/>
    </xf>
    <xf numFmtId="170" fontId="55" fillId="0" borderId="26" xfId="59" applyNumberFormat="1" applyFont="1" applyBorder="1"/>
    <xf numFmtId="0" fontId="7" fillId="0" borderId="15" xfId="0" quotePrefix="1" applyFont="1" applyBorder="1" applyAlignment="1">
      <alignment horizontal="right"/>
    </xf>
    <xf numFmtId="0" fontId="52" fillId="0" borderId="0" xfId="0" applyFont="1" applyFill="1" applyAlignment="1">
      <alignment horizontal="left"/>
    </xf>
    <xf numFmtId="0" fontId="39" fillId="0" borderId="13" xfId="0" applyFont="1" applyFill="1" applyBorder="1" applyAlignment="1">
      <alignment horizontal="center"/>
    </xf>
    <xf numFmtId="171" fontId="7" fillId="0" borderId="25" xfId="0" applyNumberFormat="1" applyFont="1" applyFill="1" applyBorder="1"/>
    <xf numFmtId="3" fontId="6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0" fontId="14" fillId="0" borderId="0" xfId="0" applyNumberFormat="1" applyFont="1" applyFill="1" applyAlignment="1">
      <alignment horizontal="center"/>
    </xf>
    <xf numFmtId="169" fontId="14" fillId="0" borderId="0" xfId="117" applyFont="1" applyFill="1" applyAlignment="1"/>
    <xf numFmtId="49" fontId="71" fillId="0" borderId="0" xfId="117" applyNumberFormat="1" applyFont="1" applyFill="1" applyAlignment="1" applyProtection="1">
      <alignment horizontal="center"/>
      <protection locked="0"/>
    </xf>
    <xf numFmtId="0" fontId="39" fillId="0" borderId="0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5" fillId="0" borderId="0" xfId="0" applyFont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170" fontId="1" fillId="0" borderId="11" xfId="59" applyNumberFormat="1" applyBorder="1"/>
    <xf numFmtId="43" fontId="1" fillId="0" borderId="0" xfId="59"/>
    <xf numFmtId="0" fontId="65" fillId="0" borderId="0" xfId="0" quotePrefix="1" applyFont="1" applyFill="1" applyBorder="1" applyAlignment="1">
      <alignment horizontal="center" wrapText="1"/>
    </xf>
    <xf numFmtId="0" fontId="65" fillId="0" borderId="0" xfId="0" quotePrefix="1" applyFont="1" applyBorder="1" applyAlignment="1">
      <alignment horizontal="centerContinuous"/>
    </xf>
    <xf numFmtId="0" fontId="39" fillId="0" borderId="11" xfId="0" applyFont="1" applyBorder="1" applyAlignment="1">
      <alignment horizontal="centerContinuous"/>
    </xf>
    <xf numFmtId="0" fontId="72" fillId="0" borderId="0" xfId="0" applyFont="1" applyFill="1"/>
    <xf numFmtId="0" fontId="65" fillId="0" borderId="0" xfId="0" applyFont="1" applyAlignment="1">
      <alignment horizontal="center" wrapText="1"/>
    </xf>
    <xf numFmtId="0" fontId="65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Fill="1" applyAlignment="1">
      <alignment horizontal="center" vertical="center"/>
    </xf>
    <xf numFmtId="170" fontId="64" fillId="27" borderId="0" xfId="59" applyNumberFormat="1" applyFont="1" applyFill="1" applyAlignment="1">
      <alignment vertical="center"/>
    </xf>
    <xf numFmtId="170" fontId="1" fillId="0" borderId="0" xfId="59" applyNumberFormat="1" applyAlignment="1">
      <alignment vertical="center"/>
    </xf>
    <xf numFmtId="170" fontId="39" fillId="0" borderId="0" xfId="59" applyNumberFormat="1" applyFont="1" applyAlignment="1">
      <alignment horizontal="center" vertical="center"/>
    </xf>
    <xf numFmtId="170" fontId="39" fillId="0" borderId="0" xfId="59" applyNumberFormat="1" applyFont="1" applyAlignment="1">
      <alignment vertical="center"/>
    </xf>
    <xf numFmtId="0" fontId="7" fillId="0" borderId="0" xfId="0" applyFont="1" applyAlignment="1">
      <alignment vertical="center"/>
    </xf>
    <xf numFmtId="43" fontId="1" fillId="0" borderId="0" xfId="59" applyAlignment="1">
      <alignment vertical="center"/>
    </xf>
    <xf numFmtId="0" fontId="0" fillId="0" borderId="0" xfId="0" quotePrefix="1" applyAlignment="1">
      <alignment horizontal="left" vertical="center"/>
    </xf>
    <xf numFmtId="170" fontId="64" fillId="27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170" fontId="73" fillId="0" borderId="0" xfId="59" applyNumberFormat="1" applyFont="1" applyAlignment="1">
      <alignment horizontal="center" vertical="center"/>
    </xf>
    <xf numFmtId="3" fontId="14" fillId="0" borderId="0" xfId="0" quotePrefix="1" applyNumberFormat="1" applyFont="1" applyFill="1" applyAlignment="1">
      <alignment horizontal="center"/>
    </xf>
    <xf numFmtId="0" fontId="0" fillId="0" borderId="33" xfId="0" applyBorder="1"/>
    <xf numFmtId="0" fontId="0" fillId="0" borderId="2" xfId="0" applyBorder="1"/>
    <xf numFmtId="170" fontId="1" fillId="0" borderId="2" xfId="59" applyNumberFormat="1" applyBorder="1"/>
    <xf numFmtId="0" fontId="0" fillId="0" borderId="34" xfId="0" applyBorder="1"/>
    <xf numFmtId="0" fontId="0" fillId="0" borderId="0" xfId="0" applyBorder="1" applyAlignment="1">
      <alignment horizontal="center"/>
    </xf>
    <xf numFmtId="49" fontId="71" fillId="0" borderId="0" xfId="117" applyNumberFormat="1" applyFont="1" applyFill="1" applyBorder="1" applyAlignment="1" applyProtection="1">
      <alignment horizontal="center"/>
      <protection locked="0"/>
    </xf>
    <xf numFmtId="0" fontId="0" fillId="0" borderId="35" xfId="0" applyBorder="1" applyAlignment="1">
      <alignment horizontal="center"/>
    </xf>
    <xf numFmtId="0" fontId="0" fillId="0" borderId="36" xfId="0" applyBorder="1"/>
    <xf numFmtId="0" fontId="0" fillId="0" borderId="11" xfId="0" applyBorder="1"/>
    <xf numFmtId="0" fontId="0" fillId="0" borderId="37" xfId="0" applyBorder="1"/>
    <xf numFmtId="168" fontId="7" fillId="0" borderId="14" xfId="59" applyNumberFormat="1" applyFont="1" applyFill="1" applyBorder="1"/>
    <xf numFmtId="170" fontId="7" fillId="0" borderId="14" xfId="59" applyNumberFormat="1" applyFont="1" applyFill="1" applyBorder="1"/>
    <xf numFmtId="170" fontId="7" fillId="0" borderId="16" xfId="59" applyNumberFormat="1" applyFont="1" applyFill="1" applyBorder="1"/>
    <xf numFmtId="170" fontId="39" fillId="27" borderId="26" xfId="59" applyNumberFormat="1" applyFont="1" applyFill="1" applyBorder="1" applyAlignment="1">
      <alignment horizontal="center"/>
    </xf>
    <xf numFmtId="170" fontId="39" fillId="27" borderId="16" xfId="59" applyNumberFormat="1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 wrapText="1"/>
    </xf>
    <xf numFmtId="43" fontId="53" fillId="0" borderId="0" xfId="59" applyFont="1" applyAlignment="1">
      <alignment horizontal="center" vertical="center"/>
    </xf>
    <xf numFmtId="0" fontId="65" fillId="0" borderId="0" xfId="0" quotePrefix="1" applyFont="1" applyBorder="1" applyAlignment="1">
      <alignment horizontal="center" wrapText="1"/>
    </xf>
    <xf numFmtId="170" fontId="1" fillId="0" borderId="0" xfId="59" applyNumberFormat="1" applyFont="1" applyFill="1" applyAlignment="1">
      <alignment vertical="center"/>
    </xf>
    <xf numFmtId="170" fontId="1" fillId="0" borderId="0" xfId="59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39" fillId="0" borderId="0" xfId="0" applyFont="1" applyAlignment="1">
      <alignment horizontal="center" vertical="center"/>
    </xf>
    <xf numFmtId="0" fontId="65" fillId="0" borderId="11" xfId="0" applyFont="1" applyBorder="1" applyAlignment="1">
      <alignment horizontal="centerContinuous"/>
    </xf>
    <xf numFmtId="0" fontId="65" fillId="0" borderId="11" xfId="0" quotePrefix="1" applyFont="1" applyBorder="1" applyAlignment="1">
      <alignment horizontal="centerContinuous"/>
    </xf>
    <xf numFmtId="0" fontId="39" fillId="0" borderId="11" xfId="0" applyFont="1" applyBorder="1" applyAlignment="1">
      <alignment horizontal="left"/>
    </xf>
    <xf numFmtId="0" fontId="0" fillId="0" borderId="25" xfId="0" applyBorder="1"/>
    <xf numFmtId="0" fontId="0" fillId="0" borderId="38" xfId="0" applyBorder="1" applyAlignment="1">
      <alignment wrapText="1"/>
    </xf>
    <xf numFmtId="170" fontId="54" fillId="0" borderId="25" xfId="59" applyNumberFormat="1" applyFont="1" applyFill="1" applyBorder="1"/>
    <xf numFmtId="171" fontId="54" fillId="27" borderId="24" xfId="0" applyNumberFormat="1" applyFont="1" applyFill="1" applyBorder="1"/>
    <xf numFmtId="171" fontId="54" fillId="27" borderId="25" xfId="0" applyNumberFormat="1" applyFont="1" applyFill="1" applyBorder="1"/>
    <xf numFmtId="171" fontId="54" fillId="27" borderId="26" xfId="0" applyNumberFormat="1" applyFont="1" applyFill="1" applyBorder="1"/>
    <xf numFmtId="171" fontId="54" fillId="0" borderId="24" xfId="0" applyNumberFormat="1" applyFont="1" applyFill="1" applyBorder="1"/>
    <xf numFmtId="171" fontId="54" fillId="0" borderId="25" xfId="0" applyNumberFormat="1" applyFont="1" applyFill="1" applyBorder="1"/>
    <xf numFmtId="170" fontId="39" fillId="0" borderId="24" xfId="59" quotePrefix="1" applyNumberFormat="1" applyFont="1" applyBorder="1" applyAlignment="1">
      <alignment horizontal="center" wrapText="1"/>
    </xf>
    <xf numFmtId="170" fontId="39" fillId="0" borderId="24" xfId="59" applyNumberFormat="1" applyFont="1" applyFill="1" applyBorder="1" applyAlignment="1">
      <alignment horizontal="center" wrapText="1"/>
    </xf>
    <xf numFmtId="170" fontId="39" fillId="0" borderId="26" xfId="59" applyNumberFormat="1" applyFont="1" applyFill="1" applyBorder="1" applyAlignment="1">
      <alignment horizontal="center"/>
    </xf>
    <xf numFmtId="170" fontId="39" fillId="0" borderId="15" xfId="59" applyNumberFormat="1" applyFont="1" applyFill="1" applyBorder="1" applyAlignment="1">
      <alignment horizontal="center"/>
    </xf>
    <xf numFmtId="0" fontId="52" fillId="0" borderId="0" xfId="0" quotePrefix="1" applyFont="1" applyFill="1" applyAlignment="1">
      <alignment horizontal="left"/>
    </xf>
    <xf numFmtId="170" fontId="54" fillId="0" borderId="14" xfId="59" applyNumberFormat="1" applyFont="1" applyFill="1" applyBorder="1"/>
    <xf numFmtId="170" fontId="54" fillId="0" borderId="26" xfId="59" applyNumberFormat="1" applyFont="1" applyFill="1" applyBorder="1"/>
    <xf numFmtId="170" fontId="54" fillId="0" borderId="16" xfId="59" applyNumberFormat="1" applyFont="1" applyFill="1" applyBorder="1"/>
    <xf numFmtId="164" fontId="1" fillId="0" borderId="0" xfId="0" applyNumberFormat="1" applyFont="1" applyFill="1"/>
    <xf numFmtId="171" fontId="0" fillId="0" borderId="0" xfId="76" applyNumberFormat="1" applyFont="1"/>
    <xf numFmtId="170" fontId="0" fillId="0" borderId="26" xfId="0" applyNumberFormat="1" applyBorder="1"/>
    <xf numFmtId="0" fontId="0" fillId="0" borderId="0" xfId="0" quotePrefix="1" applyBorder="1" applyAlignment="1">
      <alignment horizontal="right"/>
    </xf>
    <xf numFmtId="0" fontId="7" fillId="0" borderId="0" xfId="0" quotePrefix="1" applyFont="1" applyBorder="1" applyAlignment="1">
      <alignment horizontal="right"/>
    </xf>
    <xf numFmtId="0" fontId="53" fillId="0" borderId="0" xfId="0" quotePrefix="1" applyFont="1" applyAlignment="1">
      <alignment horizontal="left"/>
    </xf>
    <xf numFmtId="43" fontId="75" fillId="0" borderId="0" xfId="59" applyFont="1" applyAlignment="1">
      <alignment horizontal="left" vertical="center"/>
    </xf>
    <xf numFmtId="170" fontId="75" fillId="0" borderId="0" xfId="59" applyNumberFormat="1" applyFont="1" applyAlignment="1">
      <alignment horizontal="center" vertical="center"/>
    </xf>
    <xf numFmtId="13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171" fontId="7" fillId="0" borderId="19" xfId="0" applyNumberFormat="1" applyFont="1" applyBorder="1"/>
    <xf numFmtId="170" fontId="39" fillId="0" borderId="25" xfId="59" applyNumberFormat="1" applyFont="1" applyBorder="1" applyAlignment="1">
      <alignment horizontal="center"/>
    </xf>
    <xf numFmtId="170" fontId="0" fillId="0" borderId="25" xfId="0" applyNumberFormat="1" applyBorder="1" applyAlignment="1">
      <alignment vertical="center"/>
    </xf>
    <xf numFmtId="170" fontId="39" fillId="27" borderId="19" xfId="59" quotePrefix="1" applyNumberFormat="1" applyFont="1" applyFill="1" applyBorder="1" applyAlignment="1">
      <alignment horizontal="center" wrapText="1"/>
    </xf>
    <xf numFmtId="170" fontId="39" fillId="0" borderId="19" xfId="59" quotePrefix="1" applyNumberFormat="1" applyFont="1" applyBorder="1" applyAlignment="1">
      <alignment horizontal="center" wrapText="1"/>
    </xf>
    <xf numFmtId="170" fontId="39" fillId="27" borderId="24" xfId="59" quotePrefix="1" applyNumberFormat="1" applyFont="1" applyFill="1" applyBorder="1" applyAlignment="1">
      <alignment horizontal="center" wrapText="1"/>
    </xf>
    <xf numFmtId="170" fontId="1" fillId="0" borderId="0" xfId="59" applyNumberFormat="1" applyFont="1" applyAlignment="1">
      <alignment horizontal="center" vertical="center"/>
    </xf>
    <xf numFmtId="170" fontId="0" fillId="0" borderId="0" xfId="59" applyNumberFormat="1" applyFont="1"/>
    <xf numFmtId="170" fontId="54" fillId="27" borderId="0" xfId="0" applyNumberFormat="1" applyFont="1" applyFill="1" applyBorder="1"/>
    <xf numFmtId="170" fontId="54" fillId="27" borderId="24" xfId="59" applyNumberFormat="1" applyFont="1" applyFill="1" applyBorder="1"/>
    <xf numFmtId="170" fontId="54" fillId="27" borderId="25" xfId="59" applyNumberFormat="1" applyFont="1" applyFill="1" applyBorder="1"/>
    <xf numFmtId="170" fontId="54" fillId="27" borderId="0" xfId="0" quotePrefix="1" applyNumberFormat="1" applyFont="1" applyFill="1" applyBorder="1" applyAlignment="1">
      <alignment horizontal="left"/>
    </xf>
    <xf numFmtId="170" fontId="54" fillId="27" borderId="14" xfId="59" applyNumberFormat="1" applyFont="1" applyFill="1" applyBorder="1"/>
    <xf numFmtId="170" fontId="54" fillId="27" borderId="25" xfId="0" applyNumberFormat="1" applyFont="1" applyFill="1" applyBorder="1"/>
    <xf numFmtId="170" fontId="64" fillId="27" borderId="25" xfId="59" applyNumberFormat="1" applyFont="1" applyFill="1" applyBorder="1"/>
    <xf numFmtId="170" fontId="54" fillId="27" borderId="24" xfId="0" applyNumberFormat="1" applyFont="1" applyFill="1" applyBorder="1"/>
    <xf numFmtId="168" fontId="54" fillId="27" borderId="25" xfId="59" applyNumberFormat="1" applyFont="1" applyFill="1" applyBorder="1"/>
    <xf numFmtId="168" fontId="54" fillId="27" borderId="14" xfId="59" applyNumberFormat="1" applyFont="1" applyFill="1" applyBorder="1"/>
    <xf numFmtId="0" fontId="7" fillId="0" borderId="13" xfId="0" quotePrefix="1" applyFont="1" applyFill="1" applyBorder="1" applyAlignment="1">
      <alignment horizontal="left"/>
    </xf>
    <xf numFmtId="170" fontId="7" fillId="0" borderId="26" xfId="59" applyNumberFormat="1" applyFont="1" applyBorder="1"/>
    <xf numFmtId="175" fontId="5" fillId="0" borderId="14" xfId="0" applyNumberFormat="1" applyFont="1" applyBorder="1"/>
    <xf numFmtId="176" fontId="7" fillId="0" borderId="14" xfId="59" applyNumberFormat="1" applyFont="1" applyBorder="1"/>
    <xf numFmtId="171" fontId="54" fillId="29" borderId="25" xfId="0" applyNumberFormat="1" applyFont="1" applyFill="1" applyBorder="1"/>
    <xf numFmtId="171" fontId="7" fillId="29" borderId="25" xfId="0" applyNumberFormat="1" applyFont="1" applyFill="1" applyBorder="1"/>
    <xf numFmtId="0" fontId="61" fillId="28" borderId="22" xfId="0" quotePrefix="1" applyFont="1" applyFill="1" applyBorder="1" applyAlignment="1">
      <alignment horizontal="center"/>
    </xf>
    <xf numFmtId="43" fontId="76" fillId="0" borderId="0" xfId="59" applyFont="1" applyAlignment="1">
      <alignment vertical="center"/>
    </xf>
    <xf numFmtId="171" fontId="54" fillId="29" borderId="24" xfId="0" applyNumberFormat="1" applyFont="1" applyFill="1" applyBorder="1"/>
    <xf numFmtId="171" fontId="7" fillId="29" borderId="24" xfId="0" applyNumberFormat="1" applyFont="1" applyFill="1" applyBorder="1"/>
    <xf numFmtId="0" fontId="68" fillId="0" borderId="0" xfId="0" applyFont="1" applyFill="1" applyAlignment="1">
      <alignment horizontal="center"/>
    </xf>
    <xf numFmtId="0" fontId="68" fillId="0" borderId="0" xfId="0" applyFont="1" applyAlignment="1">
      <alignment horizontal="center"/>
    </xf>
    <xf numFmtId="170" fontId="7" fillId="0" borderId="15" xfId="0" applyNumberFormat="1" applyFont="1" applyBorder="1"/>
    <xf numFmtId="0" fontId="1" fillId="0" borderId="14" xfId="0" applyFont="1" applyBorder="1"/>
    <xf numFmtId="10" fontId="54" fillId="0" borderId="39" xfId="0" applyNumberFormat="1" applyFont="1" applyBorder="1"/>
    <xf numFmtId="0" fontId="1" fillId="0" borderId="40" xfId="0" applyFont="1" applyBorder="1"/>
    <xf numFmtId="166" fontId="54" fillId="0" borderId="39" xfId="0" applyNumberFormat="1" applyFont="1" applyBorder="1"/>
    <xf numFmtId="0" fontId="1" fillId="0" borderId="41" xfId="0" applyFont="1" applyBorder="1"/>
    <xf numFmtId="41" fontId="54" fillId="0" borderId="13" xfId="0" applyNumberFormat="1" applyFont="1" applyBorder="1"/>
    <xf numFmtId="3" fontId="54" fillId="0" borderId="42" xfId="0" applyNumberFormat="1" applyFont="1" applyBorder="1"/>
    <xf numFmtId="10" fontId="54" fillId="0" borderId="13" xfId="0" applyNumberFormat="1" applyFont="1" applyBorder="1"/>
    <xf numFmtId="0" fontId="54" fillId="0" borderId="20" xfId="0" applyFont="1" applyBorder="1"/>
    <xf numFmtId="170" fontId="54" fillId="0" borderId="39" xfId="0" applyNumberFormat="1" applyFont="1" applyBorder="1"/>
    <xf numFmtId="170" fontId="54" fillId="0" borderId="43" xfId="0" applyNumberFormat="1" applyFont="1" applyBorder="1"/>
    <xf numFmtId="0" fontId="54" fillId="0" borderId="44" xfId="0" applyFont="1" applyBorder="1"/>
    <xf numFmtId="170" fontId="54" fillId="0" borderId="45" xfId="0" applyNumberFormat="1" applyFont="1" applyBorder="1"/>
    <xf numFmtId="0" fontId="7" fillId="0" borderId="46" xfId="0" quotePrefix="1" applyFont="1" applyFill="1" applyBorder="1" applyAlignment="1">
      <alignment horizontal="left"/>
    </xf>
    <xf numFmtId="0" fontId="54" fillId="0" borderId="39" xfId="0" quotePrefix="1" applyFont="1" applyFill="1" applyBorder="1" applyAlignment="1">
      <alignment horizontal="right"/>
    </xf>
    <xf numFmtId="0" fontId="7" fillId="0" borderId="25" xfId="0" applyNumberFormat="1" applyFont="1" applyFill="1" applyBorder="1" applyAlignment="1">
      <alignment horizontal="center"/>
    </xf>
    <xf numFmtId="0" fontId="7" fillId="30" borderId="0" xfId="0" applyFont="1" applyFill="1"/>
    <xf numFmtId="0" fontId="7" fillId="0" borderId="0" xfId="0" quotePrefix="1" applyFont="1" applyAlignment="1">
      <alignment horizontal="center" vertical="center"/>
    </xf>
    <xf numFmtId="171" fontId="7" fillId="0" borderId="18" xfId="0" applyNumberFormat="1" applyFont="1" applyFill="1" applyBorder="1"/>
    <xf numFmtId="170" fontId="54" fillId="27" borderId="14" xfId="0" applyNumberFormat="1" applyFont="1" applyFill="1" applyBorder="1"/>
    <xf numFmtId="0" fontId="0" fillId="0" borderId="24" xfId="0" applyBorder="1" applyAlignment="1">
      <alignment horizontal="center"/>
    </xf>
    <xf numFmtId="43" fontId="77" fillId="30" borderId="24" xfId="59" applyFont="1" applyFill="1" applyBorder="1" applyAlignment="1">
      <alignment horizontal="right"/>
    </xf>
    <xf numFmtId="43" fontId="77" fillId="30" borderId="25" xfId="59" applyFont="1" applyFill="1" applyBorder="1" applyAlignment="1">
      <alignment horizontal="center"/>
    </xf>
    <xf numFmtId="43" fontId="77" fillId="30" borderId="24" xfId="59" applyFont="1" applyFill="1" applyBorder="1"/>
    <xf numFmtId="43" fontId="1" fillId="30" borderId="24" xfId="59" applyFill="1" applyBorder="1"/>
    <xf numFmtId="43" fontId="0" fillId="0" borderId="24" xfId="59" applyFont="1" applyBorder="1"/>
    <xf numFmtId="43" fontId="77" fillId="30" borderId="25" xfId="59" applyFont="1" applyFill="1" applyBorder="1"/>
    <xf numFmtId="43" fontId="1" fillId="30" borderId="25" xfId="59" applyFill="1" applyBorder="1"/>
    <xf numFmtId="43" fontId="0" fillId="0" borderId="25" xfId="59" applyFont="1" applyBorder="1"/>
    <xf numFmtId="43" fontId="0" fillId="0" borderId="0" xfId="59" applyFont="1"/>
    <xf numFmtId="170" fontId="82" fillId="30" borderId="0" xfId="0" applyNumberFormat="1" applyFont="1" applyFill="1" applyBorder="1"/>
    <xf numFmtId="170" fontId="82" fillId="30" borderId="25" xfId="59" applyNumberFormat="1" applyFont="1" applyFill="1" applyBorder="1"/>
    <xf numFmtId="170" fontId="82" fillId="30" borderId="25" xfId="0" applyNumberFormat="1" applyFont="1" applyFill="1" applyBorder="1"/>
    <xf numFmtId="168" fontId="82" fillId="30" borderId="25" xfId="59" applyNumberFormat="1" applyFont="1" applyFill="1" applyBorder="1"/>
    <xf numFmtId="168" fontId="82" fillId="30" borderId="14" xfId="59" applyNumberFormat="1" applyFont="1" applyFill="1" applyBorder="1"/>
    <xf numFmtId="170" fontId="82" fillId="30" borderId="14" xfId="59" applyNumberFormat="1" applyFont="1" applyFill="1" applyBorder="1"/>
    <xf numFmtId="0" fontId="52" fillId="30" borderId="0" xfId="0" applyFont="1" applyFill="1" applyAlignment="1">
      <alignment horizontal="left"/>
    </xf>
    <xf numFmtId="170" fontId="82" fillId="30" borderId="24" xfId="0" applyNumberFormat="1" applyFont="1" applyFill="1" applyBorder="1"/>
    <xf numFmtId="0" fontId="7" fillId="0" borderId="22" xfId="0" applyFont="1" applyFill="1" applyBorder="1" applyAlignment="1">
      <alignment horizontal="left"/>
    </xf>
    <xf numFmtId="0" fontId="83" fillId="0" borderId="0" xfId="117" applyNumberFormat="1" applyFont="1" applyFill="1" applyBorder="1" applyAlignment="1" applyProtection="1">
      <protection locked="0"/>
    </xf>
    <xf numFmtId="0" fontId="83" fillId="0" borderId="0" xfId="0" applyFont="1" applyAlignment="1">
      <alignment horizontal="left"/>
    </xf>
    <xf numFmtId="0" fontId="84" fillId="0" borderId="0" xfId="117" applyNumberFormat="1" applyFont="1" applyFill="1" applyBorder="1" applyAlignment="1" applyProtection="1">
      <protection locked="0"/>
    </xf>
    <xf numFmtId="170" fontId="54" fillId="27" borderId="13" xfId="0" applyNumberFormat="1" applyFont="1" applyFill="1" applyBorder="1"/>
    <xf numFmtId="170" fontId="7" fillId="0" borderId="13" xfId="0" applyNumberFormat="1" applyFont="1" applyBorder="1"/>
    <xf numFmtId="171" fontId="7" fillId="0" borderId="13" xfId="0" applyNumberFormat="1" applyFont="1" applyBorder="1"/>
    <xf numFmtId="171" fontId="7" fillId="29" borderId="0" xfId="0" applyNumberFormat="1" applyFont="1" applyFill="1" applyBorder="1"/>
    <xf numFmtId="170" fontId="85" fillId="30" borderId="0" xfId="0" applyNumberFormat="1" applyFont="1" applyFill="1" applyBorder="1"/>
    <xf numFmtId="170" fontId="85" fillId="30" borderId="25" xfId="59" applyNumberFormat="1" applyFont="1" applyFill="1" applyBorder="1"/>
    <xf numFmtId="170" fontId="85" fillId="30" borderId="25" xfId="0" applyNumberFormat="1" applyFont="1" applyFill="1" applyBorder="1"/>
    <xf numFmtId="170" fontId="85" fillId="30" borderId="14" xfId="59" applyNumberFormat="1" applyFont="1" applyFill="1" applyBorder="1"/>
    <xf numFmtId="171" fontId="7" fillId="0" borderId="0" xfId="0" applyNumberFormat="1" applyFont="1" applyFill="1" applyBorder="1"/>
    <xf numFmtId="170" fontId="85" fillId="30" borderId="24" xfId="59" applyNumberFormat="1" applyFont="1" applyFill="1" applyBorder="1"/>
    <xf numFmtId="170" fontId="1" fillId="0" borderId="0" xfId="59" applyNumberFormat="1" applyBorder="1" applyAlignment="1">
      <alignment vertical="center"/>
    </xf>
    <xf numFmtId="170" fontId="1" fillId="0" borderId="0" xfId="59" applyNumberFormat="1" applyFont="1" applyBorder="1" applyAlignment="1">
      <alignment vertical="center"/>
    </xf>
    <xf numFmtId="170" fontId="39" fillId="0" borderId="0" xfId="59" applyNumberFormat="1" applyFont="1" applyBorder="1" applyAlignment="1">
      <alignment vertical="center"/>
    </xf>
    <xf numFmtId="0" fontId="7" fillId="0" borderId="0" xfId="0" applyFont="1" applyFill="1" applyAlignment="1"/>
    <xf numFmtId="170" fontId="82" fillId="30" borderId="24" xfId="59" applyNumberFormat="1" applyFont="1" applyFill="1" applyBorder="1"/>
    <xf numFmtId="170" fontId="7" fillId="0" borderId="0" xfId="0" applyNumberFormat="1" applyFont="1" applyAlignment="1">
      <alignment horizontal="left"/>
    </xf>
    <xf numFmtId="170" fontId="85" fillId="30" borderId="24" xfId="0" applyNumberFormat="1" applyFont="1" applyFill="1" applyBorder="1"/>
    <xf numFmtId="168" fontId="85" fillId="30" borderId="25" xfId="59" applyNumberFormat="1" applyFont="1" applyFill="1" applyBorder="1"/>
    <xf numFmtId="168" fontId="85" fillId="30" borderId="14" xfId="59" applyNumberFormat="1" applyFont="1" applyFill="1" applyBorder="1"/>
    <xf numFmtId="170" fontId="85" fillId="30" borderId="14" xfId="59" applyNumberFormat="1" applyFont="1" applyFill="1" applyBorder="1" applyAlignment="1">
      <alignment horizontal="right"/>
    </xf>
    <xf numFmtId="170" fontId="1" fillId="0" borderId="0" xfId="59" applyNumberFormat="1" applyFont="1" applyFill="1" applyBorder="1" applyAlignment="1">
      <alignment vertical="center"/>
    </xf>
    <xf numFmtId="170" fontId="1" fillId="0" borderId="0" xfId="59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0" fontId="0" fillId="0" borderId="0" xfId="0" applyNumberFormat="1" applyBorder="1" applyAlignment="1">
      <alignment vertical="center"/>
    </xf>
    <xf numFmtId="177" fontId="1" fillId="0" borderId="0" xfId="59" applyNumberFormat="1"/>
    <xf numFmtId="170" fontId="64" fillId="30" borderId="0" xfId="59" applyNumberFormat="1" applyFont="1" applyFill="1" applyAlignment="1">
      <alignment vertical="center"/>
    </xf>
    <xf numFmtId="170" fontId="82" fillId="30" borderId="0" xfId="59" applyNumberFormat="1" applyFont="1" applyFill="1" applyBorder="1" applyAlignment="1">
      <alignment vertical="center"/>
    </xf>
    <xf numFmtId="170" fontId="7" fillId="0" borderId="14" xfId="59" quotePrefix="1" applyNumberFormat="1" applyFont="1" applyFill="1" applyBorder="1" applyAlignment="1">
      <alignment horizontal="right"/>
    </xf>
    <xf numFmtId="0" fontId="7" fillId="0" borderId="46" xfId="104" quotePrefix="1" applyFont="1" applyFill="1" applyBorder="1" applyAlignment="1">
      <alignment horizontal="left"/>
    </xf>
    <xf numFmtId="0" fontId="7" fillId="0" borderId="19" xfId="104" applyFont="1" applyFill="1" applyBorder="1"/>
    <xf numFmtId="0" fontId="47" fillId="0" borderId="0" xfId="0" applyFont="1" applyFill="1" applyAlignment="1">
      <alignment vertical="top"/>
    </xf>
    <xf numFmtId="170" fontId="7" fillId="0" borderId="26" xfId="0" applyNumberFormat="1" applyFont="1" applyFill="1" applyBorder="1"/>
    <xf numFmtId="10" fontId="7" fillId="0" borderId="0" xfId="0" applyNumberFormat="1" applyFont="1" applyFill="1"/>
    <xf numFmtId="170" fontId="7" fillId="30" borderId="0" xfId="0" applyNumberFormat="1" applyFont="1" applyFill="1" applyBorder="1"/>
    <xf numFmtId="170" fontId="7" fillId="30" borderId="25" xfId="0" applyNumberFormat="1" applyFont="1" applyFill="1" applyBorder="1"/>
    <xf numFmtId="170" fontId="7" fillId="30" borderId="14" xfId="59" applyNumberFormat="1" applyFont="1" applyFill="1" applyBorder="1"/>
    <xf numFmtId="170" fontId="7" fillId="30" borderId="24" xfId="59" applyNumberFormat="1" applyFont="1" applyFill="1" applyBorder="1"/>
    <xf numFmtId="0" fontId="7" fillId="0" borderId="14" xfId="0" applyFont="1" applyFill="1" applyBorder="1"/>
    <xf numFmtId="0" fontId="7" fillId="0" borderId="40" xfId="0" applyFont="1" applyFill="1" applyBorder="1"/>
    <xf numFmtId="0" fontId="7" fillId="0" borderId="41" xfId="0" applyFont="1" applyFill="1" applyBorder="1"/>
    <xf numFmtId="41" fontId="54" fillId="0" borderId="39" xfId="0" applyNumberFormat="1" applyFont="1" applyFill="1" applyBorder="1"/>
    <xf numFmtId="3" fontId="7" fillId="0" borderId="42" xfId="0" applyNumberFormat="1" applyFont="1" applyFill="1" applyBorder="1"/>
    <xf numFmtId="10" fontId="54" fillId="0" borderId="13" xfId="0" applyNumberFormat="1" applyFont="1" applyFill="1" applyBorder="1"/>
    <xf numFmtId="41" fontId="54" fillId="0" borderId="13" xfId="0" applyNumberFormat="1" applyFont="1" applyFill="1" applyBorder="1"/>
    <xf numFmtId="0" fontId="7" fillId="0" borderId="20" xfId="0" applyFont="1" applyFill="1" applyBorder="1"/>
    <xf numFmtId="170" fontId="54" fillId="0" borderId="43" xfId="0" applyNumberFormat="1" applyFont="1" applyFill="1" applyBorder="1"/>
    <xf numFmtId="0" fontId="7" fillId="0" borderId="44" xfId="0" applyFont="1" applyFill="1" applyBorder="1"/>
    <xf numFmtId="0" fontId="7" fillId="0" borderId="16" xfId="0" applyFont="1" applyFill="1" applyBorder="1"/>
    <xf numFmtId="170" fontId="7" fillId="0" borderId="16" xfId="0" applyNumberFormat="1" applyFont="1" applyBorder="1"/>
    <xf numFmtId="170" fontId="7" fillId="0" borderId="0" xfId="0" applyNumberFormat="1" applyFont="1" applyFill="1" applyBorder="1"/>
    <xf numFmtId="0" fontId="54" fillId="27" borderId="0" xfId="0" applyFont="1" applyFill="1" applyAlignment="1">
      <alignment horizontal="left"/>
    </xf>
    <xf numFmtId="170" fontId="54" fillId="0" borderId="39" xfId="60" applyNumberFormat="1" applyFont="1" applyFill="1" applyBorder="1"/>
    <xf numFmtId="178" fontId="54" fillId="0" borderId="39" xfId="121" applyNumberFormat="1" applyFont="1" applyFill="1" applyBorder="1"/>
    <xf numFmtId="170" fontId="54" fillId="0" borderId="39" xfId="176" applyNumberFormat="1" applyFont="1" applyBorder="1"/>
    <xf numFmtId="170" fontId="87" fillId="27" borderId="0" xfId="177" applyNumberFormat="1" applyFont="1" applyFill="1" applyBorder="1" applyAlignment="1">
      <alignment vertical="center"/>
    </xf>
    <xf numFmtId="43" fontId="64" fillId="27" borderId="0" xfId="59" applyNumberFormat="1" applyFont="1" applyFill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170" fontId="54" fillId="27" borderId="0" xfId="59" applyNumberFormat="1" applyFont="1" applyFill="1" applyAlignment="1">
      <alignment vertical="center"/>
    </xf>
    <xf numFmtId="170" fontId="54" fillId="27" borderId="0" xfId="59" applyNumberFormat="1" applyFont="1" applyFill="1" applyBorder="1" applyAlignment="1">
      <alignment vertical="center"/>
    </xf>
    <xf numFmtId="179" fontId="54" fillId="0" borderId="39" xfId="120" applyNumberFormat="1" applyFont="1" applyFill="1" applyBorder="1"/>
    <xf numFmtId="0" fontId="39" fillId="0" borderId="11" xfId="0" applyFont="1" applyBorder="1" applyAlignment="1">
      <alignment horizontal="center"/>
    </xf>
    <xf numFmtId="0" fontId="65" fillId="0" borderId="0" xfId="0" applyFont="1" applyFill="1" applyBorder="1" applyAlignment="1">
      <alignment horizontal="center" wrapText="1"/>
    </xf>
    <xf numFmtId="169" fontId="7" fillId="0" borderId="17" xfId="117" applyFont="1" applyBorder="1" applyAlignment="1" applyProtection="1">
      <alignment wrapText="1"/>
      <protection locked="0"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49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106" applyFont="1" applyBorder="1" applyAlignment="1">
      <alignment horizontal="center"/>
    </xf>
    <xf numFmtId="0" fontId="6" fillId="0" borderId="0" xfId="106" quotePrefix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4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</cellXfs>
  <cellStyles count="17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00A" xfId="26"/>
    <cellStyle name="C00B" xfId="27"/>
    <cellStyle name="C00L" xfId="28"/>
    <cellStyle name="C01A" xfId="29"/>
    <cellStyle name="C01B" xfId="30"/>
    <cellStyle name="C01H" xfId="31"/>
    <cellStyle name="C01L" xfId="32"/>
    <cellStyle name="C02A" xfId="33"/>
    <cellStyle name="C02B" xfId="34"/>
    <cellStyle name="C02H" xfId="35"/>
    <cellStyle name="C02L" xfId="36"/>
    <cellStyle name="C03A" xfId="37"/>
    <cellStyle name="C03B" xfId="38"/>
    <cellStyle name="C03H" xfId="39"/>
    <cellStyle name="C03L" xfId="40"/>
    <cellStyle name="C04A" xfId="41"/>
    <cellStyle name="C04B" xfId="42"/>
    <cellStyle name="C04H" xfId="43"/>
    <cellStyle name="C04L" xfId="44"/>
    <cellStyle name="C05A" xfId="45"/>
    <cellStyle name="C05B" xfId="46"/>
    <cellStyle name="C05H" xfId="47"/>
    <cellStyle name="C05L" xfId="48"/>
    <cellStyle name="C06A" xfId="49"/>
    <cellStyle name="C06B" xfId="50"/>
    <cellStyle name="C06H" xfId="51"/>
    <cellStyle name="C06L" xfId="52"/>
    <cellStyle name="C07A" xfId="53"/>
    <cellStyle name="C07B" xfId="54"/>
    <cellStyle name="C07H" xfId="55"/>
    <cellStyle name="C07L" xfId="56"/>
    <cellStyle name="Calculation" xfId="57" builtinId="22" customBuiltin="1"/>
    <cellStyle name="Check Cell" xfId="58" builtinId="23" customBuiltin="1"/>
    <cellStyle name="Comma" xfId="59" builtinId="3"/>
    <cellStyle name="Comma 128" xfId="177"/>
    <cellStyle name="Comma 2" xfId="60"/>
    <cellStyle name="Comma 2 2" xfId="61"/>
    <cellStyle name="Comma 2 3" xfId="62"/>
    <cellStyle name="Comma 2 3 2" xfId="63"/>
    <cellStyle name="Comma 3" xfId="64"/>
    <cellStyle name="Comma 3 2" xfId="65"/>
    <cellStyle name="Comma 3 3" xfId="66"/>
    <cellStyle name="Comma 3 3 2" xfId="67"/>
    <cellStyle name="Comma 3 4" xfId="68"/>
    <cellStyle name="Comma 3 5" xfId="69"/>
    <cellStyle name="Comma 4" xfId="70"/>
    <cellStyle name="Comma 5" xfId="71"/>
    <cellStyle name="Comma 5 2" xfId="72"/>
    <cellStyle name="Comma 6" xfId="73"/>
    <cellStyle name="Comma 7" xfId="74"/>
    <cellStyle name="Comma 76" xfId="176"/>
    <cellStyle name="Comma0" xfId="75"/>
    <cellStyle name="Currency" xfId="76" builtinId="4"/>
    <cellStyle name="Currency 2" xfId="77"/>
    <cellStyle name="Currency 2 2" xfId="78"/>
    <cellStyle name="Currency 3" xfId="79"/>
    <cellStyle name="Currency 3 2" xfId="80"/>
    <cellStyle name="Currency 3 3" xfId="81"/>
    <cellStyle name="Currency 3 3 2" xfId="82"/>
    <cellStyle name="Currency 3 4" xfId="83"/>
    <cellStyle name="Currency 3 5" xfId="84"/>
    <cellStyle name="Currency 4" xfId="85"/>
    <cellStyle name="Currency 4 10" xfId="86"/>
    <cellStyle name="Currency 4 2" xfId="87"/>
    <cellStyle name="Currency 5" xfId="88"/>
    <cellStyle name="Currency 6" xfId="89"/>
    <cellStyle name="Currency0" xfId="90"/>
    <cellStyle name="Date" xfId="91"/>
    <cellStyle name="Explanatory Text" xfId="92" builtinId="53" customBuiltin="1"/>
    <cellStyle name="Fixed" xfId="93"/>
    <cellStyle name="Good" xfId="94" builtinId="26" customBuiltin="1"/>
    <cellStyle name="Heading 1" xfId="95" builtinId="16" customBuiltin="1"/>
    <cellStyle name="Heading 2" xfId="96" builtinId="17" customBuiltin="1"/>
    <cellStyle name="Heading 3" xfId="97" builtinId="18" customBuiltin="1"/>
    <cellStyle name="Heading 4" xfId="98" builtinId="19" customBuiltin="1"/>
    <cellStyle name="Heading1" xfId="99"/>
    <cellStyle name="Heading2" xfId="100"/>
    <cellStyle name="Input" xfId="101" builtinId="20" customBuiltin="1"/>
    <cellStyle name="Linked Cell" xfId="102" builtinId="24" customBuiltin="1"/>
    <cellStyle name="Neutral" xfId="103" builtinId="28" customBuiltin="1"/>
    <cellStyle name="Normal" xfId="0" builtinId="0"/>
    <cellStyle name="Normal 2" xfId="104"/>
    <cellStyle name="Normal 3" xfId="105"/>
    <cellStyle name="Normal 3 2" xfId="106"/>
    <cellStyle name="Normal 3_OPCo Period I PJM  Formula Rate" xfId="107"/>
    <cellStyle name="Normal 35" xfId="108"/>
    <cellStyle name="Normal 4" xfId="109"/>
    <cellStyle name="Normal 4 2" xfId="110"/>
    <cellStyle name="Normal 4 3" xfId="111"/>
    <cellStyle name="Normal 4 3 2" xfId="112"/>
    <cellStyle name="Normal 4 4" xfId="113"/>
    <cellStyle name="Normal 4 5" xfId="114"/>
    <cellStyle name="Normal 5" xfId="115"/>
    <cellStyle name="Normal 6" xfId="116"/>
    <cellStyle name="Normal_FN1 Ratebase Draft SPP template (6-11-04) v2" xfId="117"/>
    <cellStyle name="Note" xfId="118" builtinId="10" customBuiltin="1"/>
    <cellStyle name="Output" xfId="119" builtinId="21" customBuiltin="1"/>
    <cellStyle name="Percent" xfId="120" builtinId="5"/>
    <cellStyle name="Percent 2" xfId="121"/>
    <cellStyle name="Percent 2 2" xfId="122"/>
    <cellStyle name="Percent 3" xfId="123"/>
    <cellStyle name="Percent 3 2" xfId="124"/>
    <cellStyle name="Percent 3 3" xfId="125"/>
    <cellStyle name="Percent 3 3 2" xfId="126"/>
    <cellStyle name="Percent 3 4" xfId="127"/>
    <cellStyle name="Percent 3 5" xfId="128"/>
    <cellStyle name="Percent 4" xfId="129"/>
    <cellStyle name="Percent 4 2" xfId="130"/>
    <cellStyle name="Percent 5" xfId="131"/>
    <cellStyle name="Percent 6" xfId="132"/>
    <cellStyle name="Percent 7 2" xfId="133"/>
    <cellStyle name="PSChar" xfId="134"/>
    <cellStyle name="PSDate" xfId="135"/>
    <cellStyle name="PSDec" xfId="136"/>
    <cellStyle name="PSdesc" xfId="137"/>
    <cellStyle name="PSHeading" xfId="138"/>
    <cellStyle name="PSInt" xfId="139"/>
    <cellStyle name="PSSpacer" xfId="140"/>
    <cellStyle name="PStest" xfId="141"/>
    <cellStyle name="R00A" xfId="142"/>
    <cellStyle name="R00B" xfId="143"/>
    <cellStyle name="R00L" xfId="144"/>
    <cellStyle name="R01A" xfId="145"/>
    <cellStyle name="R01B" xfId="146"/>
    <cellStyle name="R01H" xfId="147"/>
    <cellStyle name="R01L" xfId="148"/>
    <cellStyle name="R02A" xfId="149"/>
    <cellStyle name="R02B" xfId="150"/>
    <cellStyle name="R02H" xfId="151"/>
    <cellStyle name="R02L" xfId="152"/>
    <cellStyle name="R03A" xfId="153"/>
    <cellStyle name="R03B" xfId="154"/>
    <cellStyle name="R03H" xfId="155"/>
    <cellStyle name="R03L" xfId="156"/>
    <cellStyle name="R04A" xfId="157"/>
    <cellStyle name="R04B" xfId="158"/>
    <cellStyle name="R04H" xfId="159"/>
    <cellStyle name="R04L" xfId="160"/>
    <cellStyle name="R05A" xfId="161"/>
    <cellStyle name="R05B" xfId="162"/>
    <cellStyle name="R05H" xfId="163"/>
    <cellStyle name="R05L" xfId="164"/>
    <cellStyle name="R06A" xfId="165"/>
    <cellStyle name="R06B" xfId="166"/>
    <cellStyle name="R06H" xfId="167"/>
    <cellStyle name="R06L" xfId="168"/>
    <cellStyle name="R07A" xfId="169"/>
    <cellStyle name="R07B" xfId="170"/>
    <cellStyle name="R07H" xfId="171"/>
    <cellStyle name="R07L" xfId="172"/>
    <cellStyle name="Title" xfId="173" builtinId="15" customBuiltin="1"/>
    <cellStyle name="Total" xfId="174" builtinId="25" customBuiltin="1"/>
    <cellStyle name="Warning Text" xfId="175" builtinId="11" customBuiltin="1"/>
  </cellStyles>
  <dxfs count="61"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426720</xdr:colOff>
      <xdr:row>28</xdr:row>
      <xdr:rowOff>121920</xdr:rowOff>
    </xdr:from>
    <xdr:to>
      <xdr:col>4</xdr:col>
      <xdr:colOff>510540</xdr:colOff>
      <xdr:row>30</xdr:row>
      <xdr:rowOff>1270</xdr:rowOff>
    </xdr:to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4015740" y="5501640"/>
          <a:ext cx="8382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518160</xdr:colOff>
      <xdr:row>0</xdr:row>
      <xdr:rowOff>228600</xdr:rowOff>
    </xdr:to>
    <xdr:sp macro="" textlink="">
      <xdr:nvSpPr>
        <xdr:cNvPr id="10658" name="Text Box 1"/>
        <xdr:cNvSpPr txBox="1">
          <a:spLocks noChangeArrowheads="1"/>
        </xdr:cNvSpPr>
      </xdr:nvSpPr>
      <xdr:spPr bwMode="auto">
        <a:xfrm>
          <a:off x="4008120" y="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518160</xdr:colOff>
      <xdr:row>0</xdr:row>
      <xdr:rowOff>228600</xdr:rowOff>
    </xdr:to>
    <xdr:sp macro="" textlink="">
      <xdr:nvSpPr>
        <xdr:cNvPr id="20895" name="Text Box 1"/>
        <xdr:cNvSpPr txBox="1">
          <a:spLocks noChangeArrowheads="1"/>
        </xdr:cNvSpPr>
      </xdr:nvSpPr>
      <xdr:spPr bwMode="auto">
        <a:xfrm>
          <a:off x="4008120" y="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518160</xdr:colOff>
      <xdr:row>0</xdr:row>
      <xdr:rowOff>228600</xdr:rowOff>
    </xdr:to>
    <xdr:sp macro="" textlink="">
      <xdr:nvSpPr>
        <xdr:cNvPr id="21921" name="Text Box 1"/>
        <xdr:cNvSpPr txBox="1">
          <a:spLocks noChangeArrowheads="1"/>
        </xdr:cNvSpPr>
      </xdr:nvSpPr>
      <xdr:spPr bwMode="auto">
        <a:xfrm>
          <a:off x="4008120" y="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518160</xdr:colOff>
      <xdr:row>0</xdr:row>
      <xdr:rowOff>228600</xdr:rowOff>
    </xdr:to>
    <xdr:sp macro="" textlink="">
      <xdr:nvSpPr>
        <xdr:cNvPr id="23967" name="Text Box 1"/>
        <xdr:cNvSpPr txBox="1">
          <a:spLocks noChangeArrowheads="1"/>
        </xdr:cNvSpPr>
      </xdr:nvSpPr>
      <xdr:spPr bwMode="auto">
        <a:xfrm>
          <a:off x="4008120" y="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518160</xdr:colOff>
      <xdr:row>0</xdr:row>
      <xdr:rowOff>228600</xdr:rowOff>
    </xdr:to>
    <xdr:sp macro="" textlink="">
      <xdr:nvSpPr>
        <xdr:cNvPr id="24991" name="Text Box 1"/>
        <xdr:cNvSpPr txBox="1">
          <a:spLocks noChangeArrowheads="1"/>
        </xdr:cNvSpPr>
      </xdr:nvSpPr>
      <xdr:spPr bwMode="auto">
        <a:xfrm>
          <a:off x="4008120" y="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533400</xdr:colOff>
      <xdr:row>0</xdr:row>
      <xdr:rowOff>243840</xdr:rowOff>
    </xdr:to>
    <xdr:sp macro="" textlink="">
      <xdr:nvSpPr>
        <xdr:cNvPr id="27036" name="Text Box 1"/>
        <xdr:cNvSpPr txBox="1">
          <a:spLocks noChangeArrowheads="1"/>
        </xdr:cNvSpPr>
      </xdr:nvSpPr>
      <xdr:spPr bwMode="auto">
        <a:xfrm>
          <a:off x="4008120" y="0"/>
          <a:ext cx="1143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533400</xdr:colOff>
      <xdr:row>0</xdr:row>
      <xdr:rowOff>243840</xdr:rowOff>
    </xdr:to>
    <xdr:sp macro="" textlink="">
      <xdr:nvSpPr>
        <xdr:cNvPr id="28005" name="Text Box 1"/>
        <xdr:cNvSpPr txBox="1">
          <a:spLocks noChangeArrowheads="1"/>
        </xdr:cNvSpPr>
      </xdr:nvSpPr>
      <xdr:spPr bwMode="auto">
        <a:xfrm>
          <a:off x="4008120" y="0"/>
          <a:ext cx="1143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533400</xdr:colOff>
      <xdr:row>0</xdr:row>
      <xdr:rowOff>243840</xdr:rowOff>
    </xdr:to>
    <xdr:sp macro="" textlink="">
      <xdr:nvSpPr>
        <xdr:cNvPr id="29026" name="Text Box 1"/>
        <xdr:cNvSpPr txBox="1">
          <a:spLocks noChangeArrowheads="1"/>
        </xdr:cNvSpPr>
      </xdr:nvSpPr>
      <xdr:spPr bwMode="auto">
        <a:xfrm>
          <a:off x="4008120" y="0"/>
          <a:ext cx="1143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533400</xdr:colOff>
      <xdr:row>0</xdr:row>
      <xdr:rowOff>243840</xdr:rowOff>
    </xdr:to>
    <xdr:sp macro="" textlink="">
      <xdr:nvSpPr>
        <xdr:cNvPr id="29997" name="Text Box 1"/>
        <xdr:cNvSpPr txBox="1">
          <a:spLocks noChangeArrowheads="1"/>
        </xdr:cNvSpPr>
      </xdr:nvSpPr>
      <xdr:spPr bwMode="auto">
        <a:xfrm>
          <a:off x="4008120" y="0"/>
          <a:ext cx="1143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533400</xdr:colOff>
      <xdr:row>0</xdr:row>
      <xdr:rowOff>243840</xdr:rowOff>
    </xdr:to>
    <xdr:sp macro="" textlink="">
      <xdr:nvSpPr>
        <xdr:cNvPr id="31021" name="Text Box 1"/>
        <xdr:cNvSpPr txBox="1">
          <a:spLocks noChangeArrowheads="1"/>
        </xdr:cNvSpPr>
      </xdr:nvSpPr>
      <xdr:spPr bwMode="auto">
        <a:xfrm>
          <a:off x="4008120" y="0"/>
          <a:ext cx="1143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518160</xdr:colOff>
      <xdr:row>0</xdr:row>
      <xdr:rowOff>228600</xdr:rowOff>
    </xdr:to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4008120" y="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533400</xdr:colOff>
      <xdr:row>0</xdr:row>
      <xdr:rowOff>243840</xdr:rowOff>
    </xdr:to>
    <xdr:sp macro="" textlink="">
      <xdr:nvSpPr>
        <xdr:cNvPr id="38064" name="Text Box 1"/>
        <xdr:cNvSpPr txBox="1">
          <a:spLocks noChangeArrowheads="1"/>
        </xdr:cNvSpPr>
      </xdr:nvSpPr>
      <xdr:spPr bwMode="auto">
        <a:xfrm>
          <a:off x="4008120" y="0"/>
          <a:ext cx="1143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533400</xdr:colOff>
      <xdr:row>0</xdr:row>
      <xdr:rowOff>243840</xdr:rowOff>
    </xdr:to>
    <xdr:sp macro="" textlink="">
      <xdr:nvSpPr>
        <xdr:cNvPr id="39088" name="Text Box 1"/>
        <xdr:cNvSpPr txBox="1">
          <a:spLocks noChangeArrowheads="1"/>
        </xdr:cNvSpPr>
      </xdr:nvSpPr>
      <xdr:spPr bwMode="auto">
        <a:xfrm>
          <a:off x="4008120" y="0"/>
          <a:ext cx="1143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533400</xdr:colOff>
      <xdr:row>0</xdr:row>
      <xdr:rowOff>243840</xdr:rowOff>
    </xdr:to>
    <xdr:sp macro="" textlink="">
      <xdr:nvSpPr>
        <xdr:cNvPr id="40112" name="Text Box 1"/>
        <xdr:cNvSpPr txBox="1">
          <a:spLocks noChangeArrowheads="1"/>
        </xdr:cNvSpPr>
      </xdr:nvSpPr>
      <xdr:spPr bwMode="auto">
        <a:xfrm>
          <a:off x="4008120" y="0"/>
          <a:ext cx="1143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533400</xdr:colOff>
      <xdr:row>0</xdr:row>
      <xdr:rowOff>243840</xdr:rowOff>
    </xdr:to>
    <xdr:sp macro="" textlink="">
      <xdr:nvSpPr>
        <xdr:cNvPr id="41136" name="Text Box 1"/>
        <xdr:cNvSpPr txBox="1">
          <a:spLocks noChangeArrowheads="1"/>
        </xdr:cNvSpPr>
      </xdr:nvSpPr>
      <xdr:spPr bwMode="auto">
        <a:xfrm>
          <a:off x="4008120" y="0"/>
          <a:ext cx="1143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533400</xdr:colOff>
      <xdr:row>1</xdr:row>
      <xdr:rowOff>0</xdr:rowOff>
    </xdr:to>
    <xdr:sp macro="" textlink="">
      <xdr:nvSpPr>
        <xdr:cNvPr id="43098" name="Text Box 1"/>
        <xdr:cNvSpPr txBox="1">
          <a:spLocks noChangeArrowheads="1"/>
        </xdr:cNvSpPr>
      </xdr:nvSpPr>
      <xdr:spPr bwMode="auto">
        <a:xfrm>
          <a:off x="4008120" y="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533400</xdr:colOff>
      <xdr:row>1</xdr:row>
      <xdr:rowOff>0</xdr:rowOff>
    </xdr:to>
    <xdr:sp macro="" textlink="">
      <xdr:nvSpPr>
        <xdr:cNvPr id="44122" name="Text Box 1"/>
        <xdr:cNvSpPr txBox="1">
          <a:spLocks noChangeArrowheads="1"/>
        </xdr:cNvSpPr>
      </xdr:nvSpPr>
      <xdr:spPr bwMode="auto">
        <a:xfrm>
          <a:off x="4008120" y="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533400</xdr:colOff>
      <xdr:row>1</xdr:row>
      <xdr:rowOff>0</xdr:rowOff>
    </xdr:to>
    <xdr:sp macro="" textlink="">
      <xdr:nvSpPr>
        <xdr:cNvPr id="45146" name="Text Box 1"/>
        <xdr:cNvSpPr txBox="1">
          <a:spLocks noChangeArrowheads="1"/>
        </xdr:cNvSpPr>
      </xdr:nvSpPr>
      <xdr:spPr bwMode="auto">
        <a:xfrm>
          <a:off x="4008120" y="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533400</xdr:colOff>
      <xdr:row>1</xdr:row>
      <xdr:rowOff>0</xdr:rowOff>
    </xdr:to>
    <xdr:sp macro="" textlink="">
      <xdr:nvSpPr>
        <xdr:cNvPr id="49182" name="Text Box 1"/>
        <xdr:cNvSpPr txBox="1">
          <a:spLocks noChangeArrowheads="1"/>
        </xdr:cNvSpPr>
      </xdr:nvSpPr>
      <xdr:spPr bwMode="auto">
        <a:xfrm>
          <a:off x="4008120" y="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533400</xdr:colOff>
      <xdr:row>1</xdr:row>
      <xdr:rowOff>0</xdr:rowOff>
    </xdr:to>
    <xdr:sp macro="" textlink="">
      <xdr:nvSpPr>
        <xdr:cNvPr id="50206" name="Text Box 1"/>
        <xdr:cNvSpPr txBox="1">
          <a:spLocks noChangeArrowheads="1"/>
        </xdr:cNvSpPr>
      </xdr:nvSpPr>
      <xdr:spPr bwMode="auto">
        <a:xfrm>
          <a:off x="4008120" y="0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533400</xdr:colOff>
      <xdr:row>1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83050" y="0"/>
          <a:ext cx="1143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518160</xdr:colOff>
      <xdr:row>0</xdr:row>
      <xdr:rowOff>228600</xdr:rowOff>
    </xdr:to>
    <xdr:sp macro="" textlink="">
      <xdr:nvSpPr>
        <xdr:cNvPr id="3489" name="Text Box 1"/>
        <xdr:cNvSpPr txBox="1">
          <a:spLocks noChangeArrowheads="1"/>
        </xdr:cNvSpPr>
      </xdr:nvSpPr>
      <xdr:spPr bwMode="auto">
        <a:xfrm>
          <a:off x="4008120" y="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533400</xdr:colOff>
      <xdr:row>0</xdr:row>
      <xdr:rowOff>243840</xdr:rowOff>
    </xdr:to>
    <xdr:sp macro="" textlink="">
      <xdr:nvSpPr>
        <xdr:cNvPr id="12704" name="Text Box 1"/>
        <xdr:cNvSpPr txBox="1">
          <a:spLocks noChangeArrowheads="1"/>
        </xdr:cNvSpPr>
      </xdr:nvSpPr>
      <xdr:spPr bwMode="auto">
        <a:xfrm>
          <a:off x="4008120" y="0"/>
          <a:ext cx="1143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518160</xdr:colOff>
      <xdr:row>0</xdr:row>
      <xdr:rowOff>228600</xdr:rowOff>
    </xdr:to>
    <xdr:sp macro="" textlink="">
      <xdr:nvSpPr>
        <xdr:cNvPr id="4513" name="Text Box 1"/>
        <xdr:cNvSpPr txBox="1">
          <a:spLocks noChangeArrowheads="1"/>
        </xdr:cNvSpPr>
      </xdr:nvSpPr>
      <xdr:spPr bwMode="auto">
        <a:xfrm>
          <a:off x="4008120" y="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518160</xdr:colOff>
      <xdr:row>0</xdr:row>
      <xdr:rowOff>228600</xdr:rowOff>
    </xdr:to>
    <xdr:sp macro="" textlink="">
      <xdr:nvSpPr>
        <xdr:cNvPr id="5551" name="Text Box 1"/>
        <xdr:cNvSpPr txBox="1">
          <a:spLocks noChangeArrowheads="1"/>
        </xdr:cNvSpPr>
      </xdr:nvSpPr>
      <xdr:spPr bwMode="auto">
        <a:xfrm>
          <a:off x="4008120" y="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518160</xdr:colOff>
      <xdr:row>0</xdr:row>
      <xdr:rowOff>228600</xdr:rowOff>
    </xdr:to>
    <xdr:sp macro="" textlink="">
      <xdr:nvSpPr>
        <xdr:cNvPr id="6562" name="Text Box 1"/>
        <xdr:cNvSpPr txBox="1">
          <a:spLocks noChangeArrowheads="1"/>
        </xdr:cNvSpPr>
      </xdr:nvSpPr>
      <xdr:spPr bwMode="auto">
        <a:xfrm>
          <a:off x="4008120" y="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518160</xdr:colOff>
      <xdr:row>0</xdr:row>
      <xdr:rowOff>228600</xdr:rowOff>
    </xdr:to>
    <xdr:sp macro="" textlink="">
      <xdr:nvSpPr>
        <xdr:cNvPr id="7586" name="Text Box 1"/>
        <xdr:cNvSpPr txBox="1">
          <a:spLocks noChangeArrowheads="1"/>
        </xdr:cNvSpPr>
      </xdr:nvSpPr>
      <xdr:spPr bwMode="auto">
        <a:xfrm>
          <a:off x="4008120" y="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518160</xdr:colOff>
      <xdr:row>0</xdr:row>
      <xdr:rowOff>228600</xdr:rowOff>
    </xdr:to>
    <xdr:sp macro="" textlink="">
      <xdr:nvSpPr>
        <xdr:cNvPr id="8607" name="Text Box 1"/>
        <xdr:cNvSpPr txBox="1">
          <a:spLocks noChangeArrowheads="1"/>
        </xdr:cNvSpPr>
      </xdr:nvSpPr>
      <xdr:spPr bwMode="auto">
        <a:xfrm>
          <a:off x="4008120" y="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0</xdr:rowOff>
    </xdr:from>
    <xdr:to>
      <xdr:col>4</xdr:col>
      <xdr:colOff>518160</xdr:colOff>
      <xdr:row>0</xdr:row>
      <xdr:rowOff>228600</xdr:rowOff>
    </xdr:to>
    <xdr:sp macro="" textlink="">
      <xdr:nvSpPr>
        <xdr:cNvPr id="9633" name="Text Box 1"/>
        <xdr:cNvSpPr txBox="1">
          <a:spLocks noChangeArrowheads="1"/>
        </xdr:cNvSpPr>
      </xdr:nvSpPr>
      <xdr:spPr bwMode="auto">
        <a:xfrm>
          <a:off x="4008120" y="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icing\dbw\SWPP%20Form%20Rate\Lila%20added\AEP%20SPP%20For%20Rate%20Proj%20w%2013%20mth%20rate%20base%20june-07%20-%20June-08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 of Revisions"/>
      <sheetName val="Zonal Rates"/>
      <sheetName val="Sch 1 Rates"/>
      <sheetName val="Load WS"/>
      <sheetName val="PSO 2008 TCOS 13 Mnth"/>
      <sheetName val="PSO WsA Rev Credits"/>
      <sheetName val="PSO WsB IPP"/>
      <sheetName val="PSO WsC RB Tax"/>
      <sheetName val="PSO Ws C-1 2008 ADIT Avg Bal"/>
      <sheetName val="PSO WsD Misc Exp"/>
      <sheetName val="PSO WsE Acct 561"/>
      <sheetName val="PSO WsF Inc Prjts"/>
      <sheetName val="PSO WsG BPU"/>
      <sheetName val="PSO WsI Bal Sheet"/>
      <sheetName val="PSO WsI - 1 13 Month Prepaids"/>
      <sheetName val="PSO WsJ Tax"/>
      <sheetName val="PSO WsK CWIP"/>
      <sheetName val="SWP TCOS 2008 13 Month"/>
      <sheetName val="SWP WsA Rev Credits"/>
      <sheetName val="SWP WsB IPP"/>
      <sheetName val="SWP WsC RB Tax"/>
      <sheetName val="SWP WsC-1 ADIT 2008 13 Mth Avg "/>
      <sheetName val="SWP WsD Misc Exp"/>
      <sheetName val="SWP WsE Acct 561"/>
      <sheetName val="SWP WsF Inc Prjts"/>
      <sheetName val="SWP WsG BPU"/>
      <sheetName val="SWP WsI Bal Sheet"/>
      <sheetName val="SWP WsI-1 13 Month Prepaids "/>
      <sheetName val="SWP WsJ Tax"/>
      <sheetName val="SWP WsK CWIP"/>
      <sheetName val="FERC Balance Sheet"/>
      <sheetName val="PSO 13 Month Rate Base"/>
      <sheetName val="SWEPCo 13 Month Rate Base"/>
      <sheetName val="Plant Detail - Book"/>
      <sheetName val="FERC Income Stmt w Details"/>
      <sheetName val="Depreciation Detail"/>
      <sheetName val="Taxes Other Deta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17">
          <cell r="I317" t="str">
            <v>CE</v>
          </cell>
          <cell r="J317">
            <v>6.3272239966292818E-2</v>
          </cell>
        </row>
        <row r="318">
          <cell r="I318" t="str">
            <v>DA</v>
          </cell>
          <cell r="J318">
            <v>1</v>
          </cell>
        </row>
        <row r="319">
          <cell r="I319" t="str">
            <v>GP(b)</v>
          </cell>
          <cell r="J319">
            <v>0.17830317329522682</v>
          </cell>
        </row>
        <row r="320">
          <cell r="I320" t="str">
            <v>GP(p)</v>
          </cell>
          <cell r="J320">
            <v>0.17830317329522682</v>
          </cell>
        </row>
        <row r="321">
          <cell r="I321" t="str">
            <v>GTD(p)</v>
          </cell>
          <cell r="J321">
            <v>0.35796417623075211</v>
          </cell>
        </row>
        <row r="322">
          <cell r="I322" t="str">
            <v>GTD(h)</v>
          </cell>
          <cell r="J322">
            <v>0.35796417623075211</v>
          </cell>
        </row>
        <row r="323">
          <cell r="I323" t="str">
            <v>NA</v>
          </cell>
          <cell r="J323">
            <v>0</v>
          </cell>
        </row>
        <row r="324">
          <cell r="I324" t="str">
            <v>NP(b)</v>
          </cell>
          <cell r="J324">
            <v>0.21388078637862473</v>
          </cell>
        </row>
        <row r="325">
          <cell r="I325" t="str">
            <v>NP(p)</v>
          </cell>
          <cell r="J325">
            <v>0.21388078637862473</v>
          </cell>
        </row>
        <row r="326">
          <cell r="I326" t="str">
            <v>TP</v>
          </cell>
          <cell r="J326">
            <v>0.97384420488446088</v>
          </cell>
        </row>
        <row r="327">
          <cell r="I327" t="str">
            <v>TP1</v>
          </cell>
          <cell r="J327">
            <v>0.98824625472059235</v>
          </cell>
        </row>
        <row r="328">
          <cell r="I328" t="str">
            <v>W/S</v>
          </cell>
          <cell r="J328">
            <v>6.3272239966292818E-2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8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B67"/>
  <sheetViews>
    <sheetView tabSelected="1" zoomScale="70" zoomScaleNormal="70" zoomScaleSheetLayoutView="75" workbookViewId="0">
      <selection activeCell="C6" sqref="C6"/>
    </sheetView>
  </sheetViews>
  <sheetFormatPr defaultRowHeight="12.75" customHeight="1"/>
  <cols>
    <col min="1" max="1" width="7.42578125" customWidth="1"/>
    <col min="2" max="2" width="7" bestFit="1" customWidth="1"/>
    <col min="3" max="3" width="43.140625" customWidth="1"/>
    <col min="4" max="4" width="9.5703125" customWidth="1"/>
    <col min="5" max="5" width="12.5703125" customWidth="1"/>
    <col min="6" max="6" width="12.7109375" customWidth="1"/>
    <col min="7" max="7" width="14.85546875" customWidth="1"/>
    <col min="8" max="8" width="2.85546875" customWidth="1"/>
    <col min="9" max="9" width="15.42578125" customWidth="1"/>
    <col min="10" max="10" width="15.85546875" customWidth="1"/>
    <col min="11" max="11" width="14" customWidth="1"/>
    <col min="12" max="12" width="15.28515625" customWidth="1"/>
    <col min="13" max="13" width="2.42578125" customWidth="1"/>
    <col min="14" max="14" width="6.140625" customWidth="1"/>
    <col min="15" max="15" width="8.7109375" customWidth="1"/>
    <col min="16" max="17" width="10.7109375" customWidth="1"/>
    <col min="18" max="18" width="18.7109375" customWidth="1"/>
    <col min="19" max="19" width="2.42578125" customWidth="1"/>
    <col min="20" max="20" width="19.140625" customWidth="1"/>
    <col min="21" max="21" width="9.140625" customWidth="1"/>
    <col min="22" max="22" width="13.85546875" customWidth="1"/>
    <col min="23" max="26" width="9.140625" customWidth="1"/>
    <col min="28" max="28" width="12.140625" customWidth="1"/>
  </cols>
  <sheetData>
    <row r="1" spans="1:28" ht="15">
      <c r="H1" s="274" t="s">
        <v>152</v>
      </c>
      <c r="U1">
        <v>2020</v>
      </c>
    </row>
    <row r="2" spans="1:28" ht="15">
      <c r="H2" s="305" t="s">
        <v>183</v>
      </c>
    </row>
    <row r="3" spans="1:28" ht="15">
      <c r="H3" s="275" t="str">
        <f>"For Calendar Year "&amp;U1-1&amp;" and Projected Year "&amp;U1</f>
        <v>For Calendar Year 2019 and Projected Year 2020</v>
      </c>
    </row>
    <row r="4" spans="1:28" ht="15">
      <c r="H4" s="276"/>
    </row>
    <row r="5" spans="1:28" ht="15.75">
      <c r="H5" s="277" t="s">
        <v>153</v>
      </c>
    </row>
    <row r="7" spans="1:28" ht="18">
      <c r="C7" s="273"/>
      <c r="E7" s="273"/>
      <c r="F7" s="273"/>
      <c r="G7" s="273"/>
      <c r="H7" s="273" t="s">
        <v>119</v>
      </c>
      <c r="I7" s="273"/>
      <c r="J7" s="273"/>
      <c r="K7" s="273"/>
      <c r="L7" s="273"/>
    </row>
    <row r="8" spans="1:28">
      <c r="D8" s="107"/>
    </row>
    <row r="9" spans="1:28">
      <c r="A9" t="s">
        <v>250</v>
      </c>
    </row>
    <row r="12" spans="1:28" ht="22.5" customHeight="1">
      <c r="A12" s="290" t="s">
        <v>154</v>
      </c>
      <c r="B12" s="290" t="s">
        <v>155</v>
      </c>
      <c r="C12" s="356" t="s">
        <v>156</v>
      </c>
      <c r="D12" s="290" t="s">
        <v>157</v>
      </c>
      <c r="E12" s="290" t="s">
        <v>158</v>
      </c>
      <c r="F12" s="290" t="s">
        <v>159</v>
      </c>
      <c r="G12" s="290" t="str">
        <f>"(G) = "&amp;E12&amp;" + "&amp;F12</f>
        <v>(G) = (E) + (F)</v>
      </c>
      <c r="H12" s="290"/>
      <c r="I12" s="290" t="s">
        <v>160</v>
      </c>
      <c r="J12" s="290" t="s">
        <v>161</v>
      </c>
      <c r="K12" s="357" t="s">
        <v>189</v>
      </c>
      <c r="L12" s="290" t="str">
        <f>"(K) = "&amp;J12&amp;" - "&amp;K12</f>
        <v>(K) = (I) - (J)</v>
      </c>
      <c r="M12" s="290"/>
      <c r="N12" s="290" t="s">
        <v>190</v>
      </c>
      <c r="O12" s="290" t="s">
        <v>162</v>
      </c>
      <c r="P12" s="290" t="str">
        <f>"(N) = "&amp;N12&amp;"-"&amp;O12</f>
        <v>(N) = (L)-(M)</v>
      </c>
      <c r="Q12" s="290" t="s">
        <v>191</v>
      </c>
      <c r="R12" s="290" t="str">
        <f>"(P) = "&amp;I12&amp;"+"&amp;LEFT(L12,3)&amp;"+"&amp;LEFT(P12,3)&amp;"+"&amp;Q12</f>
        <v>(P) = (H)+(K)+(N)+(O)</v>
      </c>
      <c r="S12" s="290"/>
      <c r="T12" s="290" t="str">
        <f>"(Q) = "&amp;LEFT(G12,3)&amp;" + "&amp;LEFT(R12,3)</f>
        <v>(Q) = (G) + (P)</v>
      </c>
      <c r="U12" s="290"/>
      <c r="V12" s="291"/>
      <c r="W12" s="291"/>
      <c r="X12" s="291"/>
      <c r="Y12" s="291"/>
      <c r="Z12" s="291"/>
      <c r="AA12" s="291"/>
      <c r="AB12" s="291"/>
    </row>
    <row r="13" spans="1:28" ht="16.5" customHeight="1">
      <c r="A13" s="9"/>
      <c r="B13" s="9"/>
      <c r="C13" s="9"/>
      <c r="D13" s="9"/>
      <c r="E13" s="493" t="str">
        <f>"Projected ARR For "&amp;U1&amp;" From WS-F"</f>
        <v>Projected ARR For 2020 From WS-F</v>
      </c>
      <c r="F13" s="493"/>
      <c r="G13" s="493"/>
      <c r="H13" s="9"/>
      <c r="I13" s="286" t="s">
        <v>340</v>
      </c>
      <c r="J13" s="286"/>
      <c r="K13" s="286"/>
      <c r="L13" s="286"/>
      <c r="M13" s="286"/>
      <c r="N13" s="286"/>
      <c r="O13" s="286"/>
      <c r="P13" s="286"/>
      <c r="Q13" s="286"/>
      <c r="R13" s="330"/>
      <c r="S13" s="9"/>
      <c r="T13" s="9"/>
      <c r="U13" s="9"/>
    </row>
    <row r="14" spans="1:28" ht="18" customHeight="1">
      <c r="I14" s="352"/>
      <c r="T14" s="494" t="str">
        <f>"Total ADJUSTED Revenue Requirement Effective
1/1/"&amp;U1&amp;""</f>
        <v>Total ADJUSTED Revenue Requirement Effective
1/1/2020</v>
      </c>
    </row>
    <row r="15" spans="1:28" ht="18" customHeight="1" thickBot="1">
      <c r="D15" s="9"/>
      <c r="E15" s="278"/>
      <c r="F15" s="278"/>
      <c r="G15" s="278"/>
      <c r="I15" s="286" t="s">
        <v>163</v>
      </c>
      <c r="J15" s="329"/>
      <c r="K15" s="329"/>
      <c r="L15" s="329"/>
      <c r="M15" s="285"/>
      <c r="N15" s="286" t="s">
        <v>188</v>
      </c>
      <c r="O15" s="328"/>
      <c r="P15" s="328"/>
      <c r="Q15" s="287"/>
      <c r="T15" s="494"/>
    </row>
    <row r="16" spans="1:28" ht="69" customHeight="1">
      <c r="A16" s="288" t="s">
        <v>173</v>
      </c>
      <c r="B16" s="279" t="s">
        <v>164</v>
      </c>
      <c r="C16" s="279" t="s">
        <v>126</v>
      </c>
      <c r="D16" s="289" t="s">
        <v>165</v>
      </c>
      <c r="E16" s="323" t="s">
        <v>187</v>
      </c>
      <c r="F16" s="280" t="s">
        <v>166</v>
      </c>
      <c r="G16" s="280" t="s">
        <v>167</v>
      </c>
      <c r="I16" s="284" t="s">
        <v>319</v>
      </c>
      <c r="J16" s="284" t="s">
        <v>318</v>
      </c>
      <c r="K16" s="284" t="s">
        <v>320</v>
      </c>
      <c r="L16" s="284" t="s">
        <v>322</v>
      </c>
      <c r="M16" s="284"/>
      <c r="N16" s="321" t="s">
        <v>168</v>
      </c>
      <c r="O16" s="321" t="s">
        <v>169</v>
      </c>
      <c r="P16" s="281" t="s">
        <v>170</v>
      </c>
      <c r="Q16" s="321" t="s">
        <v>321</v>
      </c>
      <c r="R16" s="323" t="s">
        <v>211</v>
      </c>
      <c r="T16" s="494"/>
      <c r="V16" s="332" t="s">
        <v>192</v>
      </c>
    </row>
    <row r="17" spans="1:28">
      <c r="B17" s="9"/>
      <c r="C17" s="9"/>
      <c r="E17" s="49"/>
      <c r="F17" s="49"/>
      <c r="G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T17" s="49"/>
      <c r="V17" s="331"/>
    </row>
    <row r="18" spans="1:28">
      <c r="A18" s="290" t="s">
        <v>172</v>
      </c>
      <c r="B18" s="290" t="s">
        <v>112</v>
      </c>
      <c r="C18" s="301" t="str">
        <f t="shared" ref="C18:F45" ca="1" si="0">INDIRECT("'"&amp; $A18 &amp; "'!" &amp;C$54)</f>
        <v>Riverside-Glenpool (81-523) Reconductor</v>
      </c>
      <c r="D18" s="292">
        <f t="shared" ca="1" si="0"/>
        <v>2009</v>
      </c>
      <c r="E18" s="324">
        <f t="shared" ca="1" si="0"/>
        <v>96794.079800478314</v>
      </c>
      <c r="F18" s="325">
        <f t="shared" ca="1" si="0"/>
        <v>0</v>
      </c>
      <c r="G18" s="325">
        <f t="shared" ref="G18:G27" ca="1" si="1">+E18+F18</f>
        <v>96794.079800478314</v>
      </c>
      <c r="H18" s="326"/>
      <c r="I18" s="324">
        <f ca="1">INDIRECT("'"&amp; $A18 &amp; "'!" &amp;I$54)</f>
        <v>-22506.025054960046</v>
      </c>
      <c r="J18" s="490">
        <v>115516.88437424114</v>
      </c>
      <c r="K18" s="490">
        <v>127209.88976019942</v>
      </c>
      <c r="L18" s="324">
        <f t="shared" ref="L18:L27" si="2">+J18-K18</f>
        <v>-11693.005385958284</v>
      </c>
      <c r="M18" s="324"/>
      <c r="N18" s="325">
        <v>0</v>
      </c>
      <c r="O18" s="325">
        <v>0</v>
      </c>
      <c r="P18" s="325">
        <f t="shared" ref="P18:P26" si="3">+N18-O18</f>
        <v>0</v>
      </c>
      <c r="Q18" s="324">
        <f ca="1">+V18/$V$47 * $Q$47</f>
        <v>-3737.4513771928828</v>
      </c>
      <c r="R18" s="294">
        <f t="shared" ref="R18:R27" ca="1" si="4">I18+L18+P18+Q18</f>
        <v>-37936.481818111213</v>
      </c>
      <c r="S18" s="294"/>
      <c r="T18" s="295">
        <f t="shared" ref="T18:T27" ca="1" si="5">+G18+R18</f>
        <v>58857.5979823671</v>
      </c>
      <c r="V18" s="360">
        <f t="shared" ref="V18:V27" ca="1" si="6">+I18+L18+P18</f>
        <v>-34199.03044091833</v>
      </c>
      <c r="W18" s="291" t="str">
        <f>A18</f>
        <v>P.001</v>
      </c>
      <c r="AB18" s="365"/>
    </row>
    <row r="19" spans="1:28" ht="25.5">
      <c r="A19" s="290" t="s">
        <v>174</v>
      </c>
      <c r="B19" s="290" t="s">
        <v>112</v>
      </c>
      <c r="C19" s="301" t="str">
        <f t="shared" ca="1" si="0"/>
        <v>Craig Jct. to Broken Bow Dam 138 Rebuild (7.7mi)</v>
      </c>
      <c r="D19" s="292">
        <f t="shared" ca="1" si="0"/>
        <v>2009</v>
      </c>
      <c r="E19" s="324">
        <f t="shared" ca="1" si="0"/>
        <v>502810.28780425031</v>
      </c>
      <c r="F19" s="325">
        <f t="shared" ca="1" si="0"/>
        <v>0</v>
      </c>
      <c r="G19" s="325">
        <f t="shared" ca="1" si="1"/>
        <v>502810.28780425031</v>
      </c>
      <c r="H19" s="326"/>
      <c r="I19" s="324">
        <f t="shared" ref="I19:I45" ca="1" si="7">INDIRECT("'"&amp; $A19 &amp; "'!" &amp;I$54)</f>
        <v>-112615.75143827073</v>
      </c>
      <c r="J19" s="490">
        <v>602470.09178207489</v>
      </c>
      <c r="K19" s="490">
        <v>663454.12945109524</v>
      </c>
      <c r="L19" s="324">
        <f t="shared" si="2"/>
        <v>-60984.037669020356</v>
      </c>
      <c r="M19" s="324"/>
      <c r="N19" s="325">
        <v>0</v>
      </c>
      <c r="O19" s="325">
        <v>0</v>
      </c>
      <c r="P19" s="325">
        <f t="shared" si="3"/>
        <v>0</v>
      </c>
      <c r="Q19" s="324">
        <f t="shared" ref="Q19:Q44" ca="1" si="8">+V19/$V$47 * $Q$47</f>
        <v>-18971.905417036043</v>
      </c>
      <c r="R19" s="294">
        <f t="shared" ca="1" si="4"/>
        <v>-192571.69452432712</v>
      </c>
      <c r="S19" s="294"/>
      <c r="T19" s="296">
        <f t="shared" ca="1" si="5"/>
        <v>310238.5932799232</v>
      </c>
      <c r="V19" s="360">
        <f t="shared" ca="1" si="6"/>
        <v>-173599.78910729109</v>
      </c>
      <c r="W19" s="291" t="str">
        <f t="shared" ref="W19:W25" si="9">A19</f>
        <v>P.002</v>
      </c>
      <c r="AB19" s="365"/>
    </row>
    <row r="20" spans="1:28" ht="25.5">
      <c r="A20" s="290" t="s">
        <v>175</v>
      </c>
      <c r="B20" s="290" t="s">
        <v>112</v>
      </c>
      <c r="C20" s="302" t="str">
        <f t="shared" ca="1" si="0"/>
        <v>WFEC New 138 kV Ties: Sayre to Erick (WFEC) Line &amp; Atoka and Tupelo station work</v>
      </c>
      <c r="D20" s="292">
        <f t="shared" ca="1" si="0"/>
        <v>2009</v>
      </c>
      <c r="E20" s="324">
        <f t="shared" ca="1" si="0"/>
        <v>1231446.9312681679</v>
      </c>
      <c r="F20" s="325">
        <f t="shared" ca="1" si="0"/>
        <v>0</v>
      </c>
      <c r="G20" s="325">
        <f t="shared" ca="1" si="1"/>
        <v>1231446.9312681679</v>
      </c>
      <c r="H20" s="326"/>
      <c r="I20" s="324">
        <f t="shared" ca="1" si="7"/>
        <v>-282188.61534289015</v>
      </c>
      <c r="J20" s="490">
        <v>1479501.3168344374</v>
      </c>
      <c r="K20" s="490">
        <v>1629261.3883598351</v>
      </c>
      <c r="L20" s="324">
        <f t="shared" si="2"/>
        <v>-149760.07152539771</v>
      </c>
      <c r="M20" s="324"/>
      <c r="N20" s="325">
        <v>0</v>
      </c>
      <c r="O20" s="325">
        <v>0</v>
      </c>
      <c r="P20" s="325">
        <f t="shared" si="3"/>
        <v>0</v>
      </c>
      <c r="Q20" s="324">
        <f t="shared" ca="1" si="8"/>
        <v>-47205.642785737095</v>
      </c>
      <c r="R20" s="294">
        <f t="shared" ca="1" si="4"/>
        <v>-479154.32965402497</v>
      </c>
      <c r="S20" s="294"/>
      <c r="T20" s="296">
        <f t="shared" ca="1" si="5"/>
        <v>752292.601614143</v>
      </c>
      <c r="V20" s="360">
        <f t="shared" ca="1" si="6"/>
        <v>-431948.68686828786</v>
      </c>
      <c r="W20" s="291" t="str">
        <f t="shared" si="9"/>
        <v>P.003</v>
      </c>
      <c r="AB20" s="365"/>
    </row>
    <row r="21" spans="1:28" ht="25.5">
      <c r="A21" s="290" t="s">
        <v>176</v>
      </c>
      <c r="B21" s="290" t="s">
        <v>112</v>
      </c>
      <c r="C21" s="302" t="str">
        <f t="shared" ca="1" si="0"/>
        <v>Cache-Snyder to Altus Jct. 138 kV line (w/2 ring bus stations)</v>
      </c>
      <c r="D21" s="292">
        <f t="shared" ca="1" si="0"/>
        <v>2008</v>
      </c>
      <c r="E21" s="324">
        <f t="shared" ca="1" si="0"/>
        <v>1544541.2708098113</v>
      </c>
      <c r="F21" s="325">
        <f t="shared" ca="1" si="0"/>
        <v>0</v>
      </c>
      <c r="G21" s="325">
        <f t="shared" ca="1" si="1"/>
        <v>1544541.2708098113</v>
      </c>
      <c r="H21" s="326"/>
      <c r="I21" s="324">
        <f t="shared" ca="1" si="7"/>
        <v>-365097.91111111105</v>
      </c>
      <c r="J21" s="490">
        <v>1844108.8417033765</v>
      </c>
      <c r="K21" s="490">
        <v>2030775.7063365367</v>
      </c>
      <c r="L21" s="324">
        <f t="shared" si="2"/>
        <v>-186666.86463316018</v>
      </c>
      <c r="M21" s="324"/>
      <c r="N21" s="325">
        <v>0</v>
      </c>
      <c r="O21" s="325">
        <v>0</v>
      </c>
      <c r="P21" s="325">
        <f t="shared" si="3"/>
        <v>0</v>
      </c>
      <c r="Q21" s="324">
        <f t="shared" ca="1" si="8"/>
        <v>-60299.780268758208</v>
      </c>
      <c r="R21" s="294">
        <f t="shared" ca="1" si="4"/>
        <v>-612064.55601302942</v>
      </c>
      <c r="S21" s="294"/>
      <c r="T21" s="296">
        <f t="shared" ca="1" si="5"/>
        <v>932476.71479678189</v>
      </c>
      <c r="V21" s="360">
        <f t="shared" ca="1" si="6"/>
        <v>-551764.77574427123</v>
      </c>
      <c r="W21" s="291" t="str">
        <f t="shared" si="9"/>
        <v>P.004</v>
      </c>
      <c r="AB21" s="365"/>
    </row>
    <row r="22" spans="1:28">
      <c r="A22" s="357" t="s">
        <v>177</v>
      </c>
      <c r="B22" s="290" t="s">
        <v>112</v>
      </c>
      <c r="C22" s="302" t="str">
        <f t="shared" ca="1" si="0"/>
        <v>Catoosa 138 kV Device (Cap. Bank)</v>
      </c>
      <c r="D22" s="292">
        <f t="shared" ca="1" si="0"/>
        <v>2006</v>
      </c>
      <c r="E22" s="324">
        <f t="shared" ca="1" si="0"/>
        <v>39392.204131039958</v>
      </c>
      <c r="F22" s="325">
        <f t="shared" ca="1" si="0"/>
        <v>0</v>
      </c>
      <c r="G22" s="325">
        <f t="shared" ca="1" si="1"/>
        <v>39392.204131039958</v>
      </c>
      <c r="H22" s="326"/>
      <c r="I22" s="324">
        <f t="shared" ca="1" si="7"/>
        <v>-8788.9705891878475</v>
      </c>
      <c r="J22" s="490">
        <v>47099.676426996062</v>
      </c>
      <c r="K22" s="490">
        <v>51867.263201181653</v>
      </c>
      <c r="L22" s="324">
        <f t="shared" si="2"/>
        <v>-4767.5867741855909</v>
      </c>
      <c r="M22" s="324"/>
      <c r="N22" s="325">
        <v>0</v>
      </c>
      <c r="O22" s="325">
        <v>0</v>
      </c>
      <c r="P22" s="325">
        <f t="shared" si="3"/>
        <v>0</v>
      </c>
      <c r="Q22" s="324">
        <f t="shared" ca="1" si="8"/>
        <v>-1481.5324684501152</v>
      </c>
      <c r="R22" s="294">
        <f t="shared" ca="1" si="4"/>
        <v>-15038.089831823554</v>
      </c>
      <c r="S22" s="294"/>
      <c r="T22" s="296">
        <f t="shared" ca="1" si="5"/>
        <v>24354.114299216402</v>
      </c>
      <c r="V22" s="360">
        <f t="shared" ca="1" si="6"/>
        <v>-13556.557363373438</v>
      </c>
      <c r="W22" s="291" t="str">
        <f t="shared" si="9"/>
        <v>P.005</v>
      </c>
      <c r="AB22" s="365"/>
    </row>
    <row r="23" spans="1:28">
      <c r="A23" s="290" t="s">
        <v>178</v>
      </c>
      <c r="B23" s="290" t="s">
        <v>112</v>
      </c>
      <c r="C23" s="302" t="str">
        <f t="shared" ca="1" si="0"/>
        <v>Pryor Junction 138/69 Upgrade Transf</v>
      </c>
      <c r="D23" s="292">
        <f t="shared" ca="1" si="0"/>
        <v>2008</v>
      </c>
      <c r="E23" s="324">
        <f t="shared" ca="1" si="0"/>
        <v>160493.01101346352</v>
      </c>
      <c r="F23" s="325">
        <f t="shared" ca="1" si="0"/>
        <v>0</v>
      </c>
      <c r="G23" s="325">
        <f t="shared" ca="1" si="1"/>
        <v>160493.01101346352</v>
      </c>
      <c r="H23" s="326"/>
      <c r="I23" s="324">
        <f t="shared" ca="1" si="7"/>
        <v>-36428.466276008985</v>
      </c>
      <c r="J23" s="490">
        <v>191860.01984004432</v>
      </c>
      <c r="K23" s="490">
        <v>211280.7327297001</v>
      </c>
      <c r="L23" s="324">
        <f t="shared" si="2"/>
        <v>-19420.712889655784</v>
      </c>
      <c r="M23" s="324"/>
      <c r="N23" s="325">
        <v>0</v>
      </c>
      <c r="O23" s="325">
        <v>0</v>
      </c>
      <c r="P23" s="325">
        <f t="shared" si="3"/>
        <v>0</v>
      </c>
      <c r="Q23" s="324">
        <f t="shared" ca="1" si="8"/>
        <v>-6103.4944235746825</v>
      </c>
      <c r="R23" s="294">
        <f t="shared" ca="1" si="4"/>
        <v>-61952.67358923945</v>
      </c>
      <c r="S23" s="294"/>
      <c r="T23" s="296">
        <f t="shared" ca="1" si="5"/>
        <v>98540.337424224068</v>
      </c>
      <c r="V23" s="360">
        <f t="shared" ca="1" si="6"/>
        <v>-55849.179165664769</v>
      </c>
      <c r="W23" s="291" t="str">
        <f t="shared" si="9"/>
        <v>P.006</v>
      </c>
      <c r="AB23" s="365"/>
    </row>
    <row r="24" spans="1:28">
      <c r="A24" s="290" t="s">
        <v>179</v>
      </c>
      <c r="B24" s="290" t="s">
        <v>112</v>
      </c>
      <c r="C24" s="302" t="str">
        <f t="shared" ca="1" si="0"/>
        <v>Elk City - Elk City 69 kV line (CT Upgrades)*</v>
      </c>
      <c r="D24" s="292">
        <f t="shared" ca="1" si="0"/>
        <v>2007</v>
      </c>
      <c r="E24" s="324">
        <f t="shared" ca="1" si="0"/>
        <v>8871.8674914200565</v>
      </c>
      <c r="F24" s="325">
        <f t="shared" ca="1" si="0"/>
        <v>0</v>
      </c>
      <c r="G24" s="325">
        <f t="shared" ca="1" si="1"/>
        <v>8871.8674914200565</v>
      </c>
      <c r="H24" s="326"/>
      <c r="I24" s="324">
        <f t="shared" ca="1" si="7"/>
        <v>-2028.5160823105653</v>
      </c>
      <c r="J24" s="490">
        <v>10594.136255952555</v>
      </c>
      <c r="K24" s="490">
        <v>11666.510160178563</v>
      </c>
      <c r="L24" s="324">
        <f t="shared" si="2"/>
        <v>-1072.3739042260077</v>
      </c>
      <c r="M24" s="324"/>
      <c r="N24" s="325">
        <v>0</v>
      </c>
      <c r="O24" s="325">
        <v>0</v>
      </c>
      <c r="P24" s="325">
        <f t="shared" si="3"/>
        <v>0</v>
      </c>
      <c r="Q24" s="324">
        <f t="shared" ca="1" si="8"/>
        <v>-338.88169931385715</v>
      </c>
      <c r="R24" s="294">
        <f t="shared" ca="1" si="4"/>
        <v>-3439.77168585043</v>
      </c>
      <c r="S24" s="364" t="s">
        <v>214</v>
      </c>
      <c r="T24" s="296">
        <f t="shared" ca="1" si="5"/>
        <v>5432.0958055696265</v>
      </c>
      <c r="V24" s="360">
        <f t="shared" ca="1" si="6"/>
        <v>-3100.8899865365729</v>
      </c>
      <c r="W24" s="291" t="str">
        <f t="shared" si="9"/>
        <v>P.007</v>
      </c>
      <c r="AB24" s="365"/>
    </row>
    <row r="25" spans="1:28" ht="25.5">
      <c r="A25" s="290" t="s">
        <v>180</v>
      </c>
      <c r="B25" s="290" t="s">
        <v>112</v>
      </c>
      <c r="C25" s="302" t="str">
        <f t="shared" ca="1" si="0"/>
        <v>Weleetka &amp; Okmulgee Wavetrap replacement 81-805*</v>
      </c>
      <c r="D25" s="292">
        <f t="shared" ca="1" si="0"/>
        <v>2006</v>
      </c>
      <c r="E25" s="324">
        <f t="shared" ca="1" si="0"/>
        <v>5709.7475035377865</v>
      </c>
      <c r="F25" s="325">
        <f t="shared" ca="1" si="0"/>
        <v>0</v>
      </c>
      <c r="G25" s="325">
        <f t="shared" ca="1" si="1"/>
        <v>5709.7475035377865</v>
      </c>
      <c r="H25" s="326"/>
      <c r="I25" s="324">
        <f t="shared" ca="1" si="7"/>
        <v>-1220.3134300758547</v>
      </c>
      <c r="J25" s="490">
        <v>6860.8649194930222</v>
      </c>
      <c r="K25" s="490">
        <v>7555.3446130074462</v>
      </c>
      <c r="L25" s="324">
        <f t="shared" si="2"/>
        <v>-694.47969351442407</v>
      </c>
      <c r="M25" s="324"/>
      <c r="N25" s="325">
        <v>0</v>
      </c>
      <c r="O25" s="325">
        <v>0</v>
      </c>
      <c r="P25" s="325">
        <f t="shared" si="3"/>
        <v>0</v>
      </c>
      <c r="Q25" s="324">
        <f t="shared" ca="1" si="8"/>
        <v>-209.25874519060724</v>
      </c>
      <c r="R25" s="294">
        <f t="shared" ca="1" si="4"/>
        <v>-2124.0518687808863</v>
      </c>
      <c r="S25" s="364" t="s">
        <v>214</v>
      </c>
      <c r="T25" s="296">
        <f t="shared" ca="1" si="5"/>
        <v>3585.6956347569003</v>
      </c>
      <c r="V25" s="360">
        <f ca="1">+I25+L25+P25</f>
        <v>-1914.7931235902788</v>
      </c>
      <c r="W25" s="291" t="str">
        <f t="shared" si="9"/>
        <v>P.008</v>
      </c>
      <c r="AB25" s="365"/>
    </row>
    <row r="26" spans="1:28">
      <c r="A26" s="290" t="s">
        <v>181</v>
      </c>
      <c r="B26" s="290" t="s">
        <v>112</v>
      </c>
      <c r="C26" s="302" t="str">
        <f t="shared" ca="1" si="0"/>
        <v>Tulsa Southeast Upgrade (repl switches)*</v>
      </c>
      <c r="D26" s="292">
        <f t="shared" ca="1" si="0"/>
        <v>2007</v>
      </c>
      <c r="E26" s="324">
        <f t="shared" ca="1" si="0"/>
        <v>7531.2168125199005</v>
      </c>
      <c r="F26" s="325">
        <f t="shared" ca="1" si="0"/>
        <v>0</v>
      </c>
      <c r="G26" s="325">
        <f t="shared" ca="1" si="1"/>
        <v>7531.2168125199005</v>
      </c>
      <c r="H26" s="326"/>
      <c r="I26" s="324">
        <f t="shared" ca="1" si="7"/>
        <v>-1626.4766214356086</v>
      </c>
      <c r="J26" s="490">
        <v>9047.7948835900897</v>
      </c>
      <c r="K26" s="490">
        <v>9963.6429423216323</v>
      </c>
      <c r="L26" s="324">
        <f t="shared" si="2"/>
        <v>-915.84805873154255</v>
      </c>
      <c r="M26" s="324"/>
      <c r="N26" s="325">
        <v>0</v>
      </c>
      <c r="O26" s="325">
        <v>0</v>
      </c>
      <c r="P26" s="325">
        <f t="shared" si="3"/>
        <v>0</v>
      </c>
      <c r="Q26" s="324">
        <f t="shared" ca="1" si="8"/>
        <v>-277.83872100050758</v>
      </c>
      <c r="R26" s="294">
        <f t="shared" ca="1" si="4"/>
        <v>-2820.1634011676588</v>
      </c>
      <c r="S26" s="364" t="s">
        <v>214</v>
      </c>
      <c r="T26" s="296">
        <f t="shared" ca="1" si="5"/>
        <v>4711.0534113522417</v>
      </c>
      <c r="V26" s="360">
        <f t="shared" ca="1" si="6"/>
        <v>-2542.3246801671512</v>
      </c>
      <c r="W26" s="291" t="str">
        <f t="shared" ref="W26:W31" si="10">A26</f>
        <v>P.009</v>
      </c>
      <c r="AB26" s="365"/>
    </row>
    <row r="27" spans="1:28">
      <c r="A27" s="290" t="s">
        <v>213</v>
      </c>
      <c r="B27" s="290" t="s">
        <v>112</v>
      </c>
      <c r="C27" s="303" t="str">
        <f t="shared" ca="1" si="0"/>
        <v>Wavetrap Clinton City-Foss Tap 69kV Ckt 1*</v>
      </c>
      <c r="D27" s="292">
        <f t="shared" ca="1" si="0"/>
        <v>2010</v>
      </c>
      <c r="E27" s="324">
        <f t="shared" ca="1" si="0"/>
        <v>10576.425832738674</v>
      </c>
      <c r="F27" s="325">
        <f t="shared" ca="1" si="0"/>
        <v>0</v>
      </c>
      <c r="G27" s="325">
        <f t="shared" ca="1" si="1"/>
        <v>10576.425832738674</v>
      </c>
      <c r="H27" s="326"/>
      <c r="I27" s="324">
        <f t="shared" ca="1" si="7"/>
        <v>-2394.9432679785914</v>
      </c>
      <c r="J27" s="490">
        <v>12668.616208157249</v>
      </c>
      <c r="K27" s="490">
        <v>13950.975911304275</v>
      </c>
      <c r="L27" s="324">
        <f t="shared" si="2"/>
        <v>-1282.3597031470254</v>
      </c>
      <c r="M27" s="324"/>
      <c r="N27" s="325">
        <v>0</v>
      </c>
      <c r="O27" s="325">
        <v>0</v>
      </c>
      <c r="P27" s="325">
        <f t="shared" ref="P27:P33" si="11">+N27-O27</f>
        <v>0</v>
      </c>
      <c r="Q27" s="324">
        <f t="shared" ca="1" si="8"/>
        <v>-401.87516653527268</v>
      </c>
      <c r="R27" s="294">
        <f t="shared" ca="1" si="4"/>
        <v>-4079.1781376608897</v>
      </c>
      <c r="S27" s="294"/>
      <c r="T27" s="296">
        <f t="shared" ca="1" si="5"/>
        <v>6497.2476950777846</v>
      </c>
      <c r="V27" s="360">
        <f t="shared" ca="1" si="6"/>
        <v>-3677.3029711256168</v>
      </c>
      <c r="W27" s="291" t="str">
        <f t="shared" si="10"/>
        <v>P.010</v>
      </c>
      <c r="AB27" s="365"/>
    </row>
    <row r="28" spans="1:28">
      <c r="A28" s="357" t="s">
        <v>220</v>
      </c>
      <c r="B28" s="290" t="s">
        <v>112</v>
      </c>
      <c r="C28" s="303" t="str">
        <f t="shared" ca="1" si="0"/>
        <v>Bartlesville SE to Coffeyville T Rebuild</v>
      </c>
      <c r="D28" s="292">
        <f t="shared" ca="1" si="0"/>
        <v>2011</v>
      </c>
      <c r="E28" s="324">
        <f t="shared" ca="1" si="0"/>
        <v>156683.13262286683</v>
      </c>
      <c r="F28" s="325">
        <f t="shared" ca="1" si="0"/>
        <v>0</v>
      </c>
      <c r="G28" s="325">
        <f t="shared" ref="G28:G33" ca="1" si="12">+E28+F28</f>
        <v>156683.13262286683</v>
      </c>
      <c r="H28" s="326"/>
      <c r="I28" s="324">
        <f t="shared" ca="1" si="7"/>
        <v>-36042.938271908177</v>
      </c>
      <c r="J28" s="490">
        <v>187484.87969248198</v>
      </c>
      <c r="K28" s="490">
        <v>206462.72626361734</v>
      </c>
      <c r="L28" s="324">
        <f t="shared" ref="L28:L33" si="13">+J28-K28</f>
        <v>-18977.846571135364</v>
      </c>
      <c r="M28" s="324"/>
      <c r="N28" s="325">
        <v>0</v>
      </c>
      <c r="O28" s="325">
        <v>0</v>
      </c>
      <c r="P28" s="325">
        <f t="shared" si="11"/>
        <v>0</v>
      </c>
      <c r="Q28" s="324">
        <f t="shared" ca="1" si="8"/>
        <v>-6012.9630996739006</v>
      </c>
      <c r="R28" s="294">
        <f t="shared" ref="R28:R33" ca="1" si="14">I28+L28+P28+Q28</f>
        <v>-61033.74794271744</v>
      </c>
      <c r="S28" s="294"/>
      <c r="T28" s="296">
        <f t="shared" ref="T28:T33" ca="1" si="15">+G28+R28</f>
        <v>95649.384680149393</v>
      </c>
      <c r="V28" s="360">
        <f t="shared" ref="V28:V33" ca="1" si="16">+I28+L28+P28</f>
        <v>-55020.784843043541</v>
      </c>
      <c r="W28" s="291" t="str">
        <f t="shared" si="10"/>
        <v>P.011</v>
      </c>
      <c r="AB28" s="365"/>
    </row>
    <row r="29" spans="1:28" ht="25.5">
      <c r="A29" s="357" t="s">
        <v>228</v>
      </c>
      <c r="B29" s="290" t="s">
        <v>112</v>
      </c>
      <c r="C29" s="303" t="str">
        <f t="shared" ca="1" si="0"/>
        <v>Canadian River - McAlester City 138 kV Line Conversion</v>
      </c>
      <c r="D29" s="292">
        <f t="shared" ca="1" si="0"/>
        <v>2012</v>
      </c>
      <c r="E29" s="324">
        <f t="shared" ca="1" si="0"/>
        <v>381296.77932523622</v>
      </c>
      <c r="F29" s="325">
        <f t="shared" ca="1" si="0"/>
        <v>0</v>
      </c>
      <c r="G29" s="325">
        <f t="shared" ca="1" si="12"/>
        <v>381296.77932523622</v>
      </c>
      <c r="H29" s="326"/>
      <c r="I29" s="324">
        <f t="shared" ca="1" si="7"/>
        <v>-89738.557988318731</v>
      </c>
      <c r="J29" s="490">
        <v>455629.23603599746</v>
      </c>
      <c r="K29" s="490">
        <v>501749.55117286404</v>
      </c>
      <c r="L29" s="324">
        <f t="shared" si="13"/>
        <v>-46120.315136866586</v>
      </c>
      <c r="M29" s="324"/>
      <c r="N29" s="325">
        <v>0</v>
      </c>
      <c r="O29" s="325">
        <v>0</v>
      </c>
      <c r="P29" s="325">
        <f t="shared" si="11"/>
        <v>0</v>
      </c>
      <c r="Q29" s="324">
        <f t="shared" ca="1" si="8"/>
        <v>-14847.37800806385</v>
      </c>
      <c r="R29" s="294">
        <f t="shared" ca="1" si="14"/>
        <v>-150706.25113324917</v>
      </c>
      <c r="S29" s="294"/>
      <c r="T29" s="296">
        <f t="shared" ca="1" si="15"/>
        <v>230590.52819198705</v>
      </c>
      <c r="V29" s="360">
        <f t="shared" ca="1" si="16"/>
        <v>-135858.87312518532</v>
      </c>
      <c r="W29" s="291" t="str">
        <f t="shared" si="10"/>
        <v>P.012</v>
      </c>
      <c r="AB29" s="365"/>
    </row>
    <row r="30" spans="1:28" ht="15.75" customHeight="1">
      <c r="A30" s="357" t="s">
        <v>230</v>
      </c>
      <c r="B30" s="290" t="s">
        <v>112</v>
      </c>
      <c r="C30" s="303" t="str">
        <f t="shared" ca="1" si="0"/>
        <v>CoffeyvilleT to Dearing 138 kv Rebuild - 1.1 mi*</v>
      </c>
      <c r="D30" s="292">
        <f t="shared" ca="1" si="0"/>
        <v>2010</v>
      </c>
      <c r="E30" s="324">
        <f t="shared" ca="1" si="0"/>
        <v>2519.8053226007855</v>
      </c>
      <c r="F30" s="325">
        <f t="shared" ca="1" si="0"/>
        <v>0</v>
      </c>
      <c r="G30" s="325">
        <f t="shared" ca="1" si="12"/>
        <v>2519.8053226007855</v>
      </c>
      <c r="H30" s="326"/>
      <c r="I30" s="324">
        <f t="shared" ca="1" si="7"/>
        <v>-584.74496475343722</v>
      </c>
      <c r="J30" s="490">
        <v>3014.3910061676193</v>
      </c>
      <c r="K30" s="490">
        <v>3319.5177455307689</v>
      </c>
      <c r="L30" s="324">
        <f t="shared" si="13"/>
        <v>-305.12673936314968</v>
      </c>
      <c r="M30" s="324"/>
      <c r="N30" s="325">
        <v>0</v>
      </c>
      <c r="O30" s="325">
        <v>0</v>
      </c>
      <c r="P30" s="325">
        <f t="shared" si="11"/>
        <v>0</v>
      </c>
      <c r="Q30" s="324">
        <f t="shared" ca="1" si="8"/>
        <v>-97.249898116883799</v>
      </c>
      <c r="R30" s="294">
        <f t="shared" ca="1" si="14"/>
        <v>-987.12160223347064</v>
      </c>
      <c r="S30" s="294"/>
      <c r="T30" s="296">
        <f t="shared" ca="1" si="15"/>
        <v>1532.6837203673149</v>
      </c>
      <c r="V30" s="360">
        <f ca="1">+I30+L30+P30</f>
        <v>-889.8717041165869</v>
      </c>
      <c r="W30" s="291" t="str">
        <f t="shared" si="10"/>
        <v>P.013</v>
      </c>
      <c r="AB30" s="365"/>
    </row>
    <row r="31" spans="1:28" ht="15.75" customHeight="1">
      <c r="A31" s="406" t="s">
        <v>233</v>
      </c>
      <c r="B31" s="290" t="s">
        <v>112</v>
      </c>
      <c r="C31" s="303" t="str">
        <f t="shared" ca="1" si="0"/>
        <v>Ashdown West - Craig Junction</v>
      </c>
      <c r="D31" s="292">
        <f t="shared" ca="1" si="0"/>
        <v>2013</v>
      </c>
      <c r="E31" s="324">
        <f t="shared" ca="1" si="0"/>
        <v>111352.31037205369</v>
      </c>
      <c r="F31" s="325">
        <f t="shared" ca="1" si="0"/>
        <v>0</v>
      </c>
      <c r="G31" s="325">
        <f t="shared" ca="1" si="12"/>
        <v>111352.31037205369</v>
      </c>
      <c r="H31" s="326"/>
      <c r="I31" s="324">
        <f t="shared" ca="1" si="7"/>
        <v>-17618.550343754774</v>
      </c>
      <c r="J31" s="490">
        <v>153879.16125379578</v>
      </c>
      <c r="K31" s="490">
        <v>169455.32460925938</v>
      </c>
      <c r="L31" s="324">
        <f t="shared" si="13"/>
        <v>-15576.163355463592</v>
      </c>
      <c r="M31" s="324"/>
      <c r="N31" s="325">
        <v>0</v>
      </c>
      <c r="O31" s="325">
        <v>0</v>
      </c>
      <c r="P31" s="325">
        <f t="shared" si="11"/>
        <v>0</v>
      </c>
      <c r="Q31" s="324">
        <f t="shared" ca="1" si="8"/>
        <v>-3627.694318556702</v>
      </c>
      <c r="R31" s="294">
        <f t="shared" ca="1" si="14"/>
        <v>-36822.408017775066</v>
      </c>
      <c r="S31" s="294"/>
      <c r="T31" s="296">
        <f t="shared" ca="1" si="15"/>
        <v>74529.902354278631</v>
      </c>
      <c r="V31" s="360">
        <f t="shared" ca="1" si="16"/>
        <v>-33194.713699218366</v>
      </c>
      <c r="W31" s="291" t="str">
        <f t="shared" si="10"/>
        <v>P.014</v>
      </c>
      <c r="AB31" s="365"/>
    </row>
    <row r="32" spans="1:28" ht="25.5" customHeight="1">
      <c r="A32" s="406" t="s">
        <v>246</v>
      </c>
      <c r="B32" s="290" t="s">
        <v>112</v>
      </c>
      <c r="C32" s="303" t="str">
        <f t="shared" ca="1" si="0"/>
        <v>Locust Grove to Lone Star 115 kV Rebuild 2.1 miles</v>
      </c>
      <c r="D32" s="292">
        <f t="shared" ca="1" si="0"/>
        <v>2014</v>
      </c>
      <c r="E32" s="324">
        <f t="shared" ca="1" si="0"/>
        <v>263885.04985844565</v>
      </c>
      <c r="F32" s="325">
        <f t="shared" ca="1" si="0"/>
        <v>0</v>
      </c>
      <c r="G32" s="325">
        <f t="shared" ca="1" si="12"/>
        <v>263885.04985844565</v>
      </c>
      <c r="H32" s="326"/>
      <c r="I32" s="324">
        <f t="shared" ca="1" si="7"/>
        <v>-61735.852779340115</v>
      </c>
      <c r="J32" s="490">
        <v>316272.79260298092</v>
      </c>
      <c r="K32" s="490">
        <v>348286.98245385761</v>
      </c>
      <c r="L32" s="324">
        <f t="shared" si="13"/>
        <v>-32014.18985087669</v>
      </c>
      <c r="M32" s="324"/>
      <c r="N32" s="325">
        <v>0</v>
      </c>
      <c r="O32" s="325">
        <v>0</v>
      </c>
      <c r="P32" s="325">
        <f t="shared" si="11"/>
        <v>0</v>
      </c>
      <c r="Q32" s="324">
        <f t="shared" ca="1" si="8"/>
        <v>-10245.501741504531</v>
      </c>
      <c r="R32" s="294">
        <f t="shared" ca="1" si="14"/>
        <v>-103995.54437172133</v>
      </c>
      <c r="S32" s="294"/>
      <c r="T32" s="296">
        <f t="shared" ca="1" si="15"/>
        <v>159889.50548672432</v>
      </c>
      <c r="V32" s="360">
        <f t="shared" ca="1" si="16"/>
        <v>-93750.042630216805</v>
      </c>
      <c r="W32" s="291" t="str">
        <f t="shared" ref="W32:W38" si="17">A32</f>
        <v>P.015</v>
      </c>
      <c r="AB32" s="365"/>
    </row>
    <row r="33" spans="1:28" ht="15.75" customHeight="1">
      <c r="A33" s="406" t="s">
        <v>247</v>
      </c>
      <c r="B33" s="290" t="s">
        <v>112</v>
      </c>
      <c r="C33" s="303" t="str">
        <f t="shared" ca="1" si="0"/>
        <v>Cornville Station Conversion</v>
      </c>
      <c r="D33" s="292">
        <f t="shared" ca="1" si="0"/>
        <v>2014</v>
      </c>
      <c r="E33" s="324">
        <f t="shared" ca="1" si="0"/>
        <v>602674.25524940272</v>
      </c>
      <c r="F33" s="325">
        <f t="shared" ca="1" si="0"/>
        <v>0</v>
      </c>
      <c r="G33" s="325">
        <f t="shared" ca="1" si="12"/>
        <v>602674.25524940272</v>
      </c>
      <c r="H33" s="326"/>
      <c r="I33" s="324">
        <f t="shared" ca="1" si="7"/>
        <v>-141271.36365005036</v>
      </c>
      <c r="J33" s="490">
        <v>722105.79100204678</v>
      </c>
      <c r="K33" s="490">
        <v>795199.75427120691</v>
      </c>
      <c r="L33" s="324">
        <f t="shared" si="13"/>
        <v>-73093.963269160129</v>
      </c>
      <c r="M33" s="324"/>
      <c r="N33" s="325">
        <v>0</v>
      </c>
      <c r="O33" s="325">
        <v>0</v>
      </c>
      <c r="P33" s="325">
        <f t="shared" si="11"/>
        <v>0</v>
      </c>
      <c r="Q33" s="324">
        <f t="shared" ca="1" si="8"/>
        <v>-23426.979536765255</v>
      </c>
      <c r="R33" s="294">
        <f t="shared" ca="1" si="14"/>
        <v>-237792.30645597575</v>
      </c>
      <c r="S33" s="294"/>
      <c r="T33" s="296">
        <f t="shared" ca="1" si="15"/>
        <v>364881.94879342697</v>
      </c>
      <c r="V33" s="360">
        <f t="shared" ca="1" si="16"/>
        <v>-214365.32691921049</v>
      </c>
      <c r="W33" s="291" t="str">
        <f t="shared" si="17"/>
        <v>P.016</v>
      </c>
      <c r="AB33" s="365"/>
    </row>
    <row r="34" spans="1:28">
      <c r="A34" s="406" t="s">
        <v>258</v>
      </c>
      <c r="B34" s="290" t="s">
        <v>112</v>
      </c>
      <c r="C34" s="303" t="str">
        <f t="shared" ca="1" si="0"/>
        <v>Grady Customer Connection</v>
      </c>
      <c r="D34" s="292">
        <f t="shared" ca="1" si="0"/>
        <v>2015</v>
      </c>
      <c r="E34" s="324">
        <f t="shared" ca="1" si="0"/>
        <v>205069.7033172223</v>
      </c>
      <c r="F34" s="325">
        <f t="shared" ca="1" si="0"/>
        <v>0</v>
      </c>
      <c r="G34" s="325">
        <f t="shared" ref="G34:G42" ca="1" si="18">+E34+F34</f>
        <v>205069.7033172223</v>
      </c>
      <c r="H34" s="326"/>
      <c r="I34" s="324">
        <f t="shared" ca="1" si="7"/>
        <v>-48296.684740654135</v>
      </c>
      <c r="J34" s="490">
        <v>240995.59805125374</v>
      </c>
      <c r="K34" s="490">
        <v>265389.97850282618</v>
      </c>
      <c r="L34" s="324">
        <f t="shared" ref="L34:L42" si="19">+J34-K34</f>
        <v>-24394.380451572448</v>
      </c>
      <c r="M34" s="324"/>
      <c r="N34" s="325">
        <v>0</v>
      </c>
      <c r="O34" s="325">
        <v>0</v>
      </c>
      <c r="P34" s="325">
        <f t="shared" ref="P34:P42" si="20">+N34-O34</f>
        <v>0</v>
      </c>
      <c r="Q34" s="324">
        <f t="shared" ca="1" si="8"/>
        <v>-7944.0650278566673</v>
      </c>
      <c r="R34" s="294">
        <f t="shared" ref="R34:R42" ca="1" si="21">I34+L34+P34+Q34</f>
        <v>-80635.130220083243</v>
      </c>
      <c r="S34" s="294"/>
      <c r="T34" s="296">
        <f t="shared" ref="T34:T42" ca="1" si="22">+G34+R34</f>
        <v>124434.57309713906</v>
      </c>
      <c r="U34" s="7"/>
      <c r="V34" s="360">
        <f t="shared" ref="V34:V38" ca="1" si="23">+I34+L34+P34</f>
        <v>-72691.065192226582</v>
      </c>
      <c r="W34" s="291" t="str">
        <f t="shared" si="17"/>
        <v>P.017</v>
      </c>
      <c r="AB34" s="365"/>
    </row>
    <row r="35" spans="1:28">
      <c r="A35" s="406" t="s">
        <v>259</v>
      </c>
      <c r="B35" s="290" t="s">
        <v>112</v>
      </c>
      <c r="C35" s="303" t="str">
        <f t="shared" ca="1" si="0"/>
        <v>Darlington-Red Rock 138 kV line</v>
      </c>
      <c r="D35" s="292">
        <f t="shared" ca="1" si="0"/>
        <v>2014</v>
      </c>
      <c r="E35" s="451">
        <f t="shared" ca="1" si="0"/>
        <v>203353.13199328393</v>
      </c>
      <c r="F35" s="452">
        <f t="shared" ca="1" si="0"/>
        <v>0</v>
      </c>
      <c r="G35" s="452">
        <f t="shared" ca="1" si="18"/>
        <v>203353.13199328393</v>
      </c>
      <c r="H35" s="453"/>
      <c r="I35" s="324">
        <f t="shared" ca="1" si="7"/>
        <v>-45364.486882912606</v>
      </c>
      <c r="J35" s="490">
        <v>244915.0986335073</v>
      </c>
      <c r="K35" s="491">
        <v>269706.22404289979</v>
      </c>
      <c r="L35" s="451">
        <f t="shared" si="19"/>
        <v>-24791.125409392494</v>
      </c>
      <c r="M35" s="451"/>
      <c r="N35" s="452">
        <v>0</v>
      </c>
      <c r="O35" s="452">
        <v>0</v>
      </c>
      <c r="P35" s="452">
        <f t="shared" si="20"/>
        <v>0</v>
      </c>
      <c r="Q35" s="451">
        <f t="shared" ca="1" si="8"/>
        <v>-7666.9772914370615</v>
      </c>
      <c r="R35" s="441">
        <f t="shared" ca="1" si="21"/>
        <v>-77822.589583742156</v>
      </c>
      <c r="S35" s="441"/>
      <c r="T35" s="443">
        <f t="shared" ca="1" si="22"/>
        <v>125530.54240954177</v>
      </c>
      <c r="U35" s="7"/>
      <c r="V35" s="454">
        <f t="shared" ca="1" si="23"/>
        <v>-70155.612292305101</v>
      </c>
      <c r="W35" s="291" t="str">
        <f t="shared" si="17"/>
        <v>P.018</v>
      </c>
      <c r="AB35" s="365"/>
    </row>
    <row r="36" spans="1:28">
      <c r="A36" s="406" t="s">
        <v>266</v>
      </c>
      <c r="B36" s="290" t="s">
        <v>112</v>
      </c>
      <c r="C36" s="303" t="str">
        <f t="shared" ca="1" si="0"/>
        <v>Valliant-NW Texarkana 345 kV</v>
      </c>
      <c r="D36" s="292">
        <f t="shared" ca="1" si="0"/>
        <v>2017</v>
      </c>
      <c r="E36" s="451">
        <f t="shared" ca="1" si="0"/>
        <v>165989.58089219453</v>
      </c>
      <c r="F36" s="452">
        <f t="shared" ca="1" si="0"/>
        <v>0</v>
      </c>
      <c r="G36" s="452">
        <f t="shared" ca="1" si="18"/>
        <v>165989.58089219453</v>
      </c>
      <c r="H36" s="453"/>
      <c r="I36" s="324">
        <f t="shared" ca="1" si="7"/>
        <v>-41140.914743962756</v>
      </c>
      <c r="J36" s="490">
        <v>205998.2169756256</v>
      </c>
      <c r="K36" s="491">
        <v>226850.04546495868</v>
      </c>
      <c r="L36" s="451">
        <f t="shared" si="19"/>
        <v>-20851.828489333071</v>
      </c>
      <c r="M36" s="451"/>
      <c r="N36" s="452">
        <v>0</v>
      </c>
      <c r="O36" s="452">
        <v>0</v>
      </c>
      <c r="P36" s="452">
        <f t="shared" si="20"/>
        <v>0</v>
      </c>
      <c r="Q36" s="451">
        <f t="shared" ca="1" si="8"/>
        <v>-6774.8956793824427</v>
      </c>
      <c r="R36" s="441">
        <f t="shared" ca="1" si="21"/>
        <v>-68767.638912678274</v>
      </c>
      <c r="S36" s="441"/>
      <c r="T36" s="443">
        <f t="shared" ca="1" si="22"/>
        <v>97221.941979516254</v>
      </c>
      <c r="U36" s="7"/>
      <c r="V36" s="454">
        <f t="shared" ca="1" si="23"/>
        <v>-61992.743233295827</v>
      </c>
      <c r="W36" s="291" t="str">
        <f t="shared" si="17"/>
        <v>P.019</v>
      </c>
      <c r="AB36" s="365"/>
    </row>
    <row r="37" spans="1:28">
      <c r="A37" s="406" t="s">
        <v>267</v>
      </c>
      <c r="B37" s="290" t="s">
        <v>112</v>
      </c>
      <c r="C37" s="303" t="str">
        <f t="shared" ca="1" si="0"/>
        <v>Sayre 138 kV Capacitor Bank Addition</v>
      </c>
      <c r="D37" s="292">
        <f t="shared" ca="1" si="0"/>
        <v>2018</v>
      </c>
      <c r="E37" s="324">
        <f t="shared" ca="1" si="0"/>
        <v>246703.23209680832</v>
      </c>
      <c r="F37" s="325">
        <f t="shared" ca="1" si="0"/>
        <v>0</v>
      </c>
      <c r="G37" s="325">
        <f t="shared" ca="1" si="18"/>
        <v>246703.23209680832</v>
      </c>
      <c r="H37" s="326"/>
      <c r="I37" s="324">
        <f t="shared" ca="1" si="7"/>
        <v>-15390.802075635409</v>
      </c>
      <c r="J37" s="490">
        <v>87696.739331146033</v>
      </c>
      <c r="K37" s="491">
        <v>96573.696590553649</v>
      </c>
      <c r="L37" s="451">
        <f t="shared" si="19"/>
        <v>-8876.9572594076162</v>
      </c>
      <c r="M37" s="451"/>
      <c r="N37" s="452">
        <v>0</v>
      </c>
      <c r="O37" s="452">
        <v>0</v>
      </c>
      <c r="P37" s="452">
        <f t="shared" si="20"/>
        <v>0</v>
      </c>
      <c r="Q37" s="451">
        <f t="shared" ca="1" si="8"/>
        <v>-2652.1094130090337</v>
      </c>
      <c r="R37" s="441">
        <f t="shared" ca="1" si="21"/>
        <v>-26919.86874805206</v>
      </c>
      <c r="S37" s="441"/>
      <c r="T37" s="443">
        <f t="shared" ca="1" si="22"/>
        <v>219783.36334875628</v>
      </c>
      <c r="U37" s="7"/>
      <c r="V37" s="454">
        <f t="shared" ca="1" si="23"/>
        <v>-24267.759335043025</v>
      </c>
      <c r="W37" s="291" t="str">
        <f t="shared" si="17"/>
        <v>P.020</v>
      </c>
      <c r="AB37" s="365"/>
    </row>
    <row r="38" spans="1:28">
      <c r="A38" s="406" t="s">
        <v>268</v>
      </c>
      <c r="B38" s="290" t="s">
        <v>112</v>
      </c>
      <c r="C38" s="303" t="str">
        <f t="shared" ca="1" si="0"/>
        <v>Darlington-Roman Nose 138 kV</v>
      </c>
      <c r="D38" s="292">
        <f t="shared" ca="1" si="0"/>
        <v>2017</v>
      </c>
      <c r="E38" s="324">
        <f t="shared" ca="1" si="0"/>
        <v>41623.00118882845</v>
      </c>
      <c r="F38" s="325">
        <f t="shared" ca="1" si="0"/>
        <v>0</v>
      </c>
      <c r="G38" s="325">
        <f t="shared" ca="1" si="18"/>
        <v>41623.00118882845</v>
      </c>
      <c r="H38" s="326"/>
      <c r="I38" s="324">
        <f t="shared" ca="1" si="7"/>
        <v>416.0187867167042</v>
      </c>
      <c r="J38" s="490">
        <v>40500.711549338856</v>
      </c>
      <c r="K38" s="491">
        <v>44600.329028176988</v>
      </c>
      <c r="L38" s="451">
        <f t="shared" si="19"/>
        <v>-4099.6174788381322</v>
      </c>
      <c r="M38" s="451"/>
      <c r="N38" s="452">
        <v>0</v>
      </c>
      <c r="O38" s="452">
        <v>0</v>
      </c>
      <c r="P38" s="452">
        <f t="shared" si="20"/>
        <v>0</v>
      </c>
      <c r="Q38" s="451">
        <f t="shared" ca="1" si="8"/>
        <v>-402.56319630696078</v>
      </c>
      <c r="R38" s="441">
        <f t="shared" ca="1" si="21"/>
        <v>-4086.1618884283889</v>
      </c>
      <c r="S38" s="441"/>
      <c r="T38" s="443">
        <f t="shared" ca="1" si="22"/>
        <v>37536.839300400061</v>
      </c>
      <c r="U38" s="7"/>
      <c r="V38" s="454">
        <f t="shared" ca="1" si="23"/>
        <v>-3683.598692121428</v>
      </c>
      <c r="W38" s="291" t="str">
        <f t="shared" si="17"/>
        <v>P.021</v>
      </c>
      <c r="AB38" s="365"/>
    </row>
    <row r="39" spans="1:28">
      <c r="A39" s="406" t="s">
        <v>269</v>
      </c>
      <c r="B39" s="290" t="s">
        <v>112</v>
      </c>
      <c r="C39" s="303" t="str">
        <f t="shared" ca="1" si="0"/>
        <v>Northeastern Station 138 kV Terminal Upgrades</v>
      </c>
      <c r="D39" s="292">
        <f t="shared" ca="1" si="0"/>
        <v>2018</v>
      </c>
      <c r="E39" s="324">
        <f t="shared" ca="1" si="0"/>
        <v>30970.52236185109</v>
      </c>
      <c r="F39" s="325">
        <f t="shared" ca="1" si="0"/>
        <v>0</v>
      </c>
      <c r="G39" s="325">
        <f t="shared" ca="1" si="18"/>
        <v>30970.52236185109</v>
      </c>
      <c r="H39" s="326"/>
      <c r="I39" s="324">
        <f t="shared" ca="1" si="7"/>
        <v>-6504.8373273374764</v>
      </c>
      <c r="J39" s="490">
        <v>19038.576480221469</v>
      </c>
      <c r="K39" s="491">
        <v>20965.724866625227</v>
      </c>
      <c r="L39" s="451">
        <f t="shared" si="19"/>
        <v>-1927.1483864037582</v>
      </c>
      <c r="M39" s="451"/>
      <c r="N39" s="452">
        <v>0</v>
      </c>
      <c r="O39" s="452">
        <v>0</v>
      </c>
      <c r="P39" s="452">
        <f t="shared" si="20"/>
        <v>0</v>
      </c>
      <c r="Q39" s="451">
        <f t="shared" ca="1" si="8"/>
        <v>-921.4921069980677</v>
      </c>
      <c r="R39" s="441">
        <f t="shared" ca="1" si="21"/>
        <v>-9353.4778207393028</v>
      </c>
      <c r="S39" s="441"/>
      <c r="T39" s="443">
        <f t="shared" ca="1" si="22"/>
        <v>21617.044541111787</v>
      </c>
      <c r="U39" s="7"/>
      <c r="V39" s="454">
        <f t="shared" ref="V39:V44" ca="1" si="24">+I39+L39+P39</f>
        <v>-8431.9857137412346</v>
      </c>
      <c r="W39" s="291" t="str">
        <f t="shared" ref="W39:W44" si="25">A39</f>
        <v>P.022</v>
      </c>
      <c r="AB39" s="365"/>
    </row>
    <row r="40" spans="1:28">
      <c r="A40" s="406" t="s">
        <v>289</v>
      </c>
      <c r="B40" s="290" t="s">
        <v>112</v>
      </c>
      <c r="C40" s="303" t="str">
        <f t="shared" ca="1" si="0"/>
        <v>Elk City 138 KV Move Load</v>
      </c>
      <c r="D40" s="292">
        <f t="shared" ca="1" si="0"/>
        <v>2018</v>
      </c>
      <c r="E40" s="324">
        <f t="shared" ca="1" si="0"/>
        <v>150275.44361099388</v>
      </c>
      <c r="F40" s="325">
        <f t="shared" ca="1" si="0"/>
        <v>0</v>
      </c>
      <c r="G40" s="325">
        <f t="shared" ca="1" si="18"/>
        <v>150275.44361099388</v>
      </c>
      <c r="H40" s="326"/>
      <c r="I40" s="324">
        <f t="shared" ca="1" si="7"/>
        <v>-47400.003147565687</v>
      </c>
      <c r="J40" s="490">
        <v>138731.92205669577</v>
      </c>
      <c r="K40" s="491">
        <v>152774.83120024446</v>
      </c>
      <c r="L40" s="451">
        <f t="shared" si="19"/>
        <v>-14042.909143548692</v>
      </c>
      <c r="M40" s="451"/>
      <c r="N40" s="452">
        <v>0</v>
      </c>
      <c r="O40" s="452">
        <v>0</v>
      </c>
      <c r="P40" s="452">
        <f t="shared" si="20"/>
        <v>0</v>
      </c>
      <c r="Q40" s="451">
        <f t="shared" ca="1" si="8"/>
        <v>-6714.8072386990316</v>
      </c>
      <c r="R40" s="441">
        <f t="shared" ca="1" si="21"/>
        <v>-68157.719529813417</v>
      </c>
      <c r="S40" s="441"/>
      <c r="T40" s="443">
        <f t="shared" ca="1" si="22"/>
        <v>82117.724081180466</v>
      </c>
      <c r="U40" s="7"/>
      <c r="V40" s="454">
        <f t="shared" ca="1" si="24"/>
        <v>-61442.912291114379</v>
      </c>
      <c r="W40" s="291" t="str">
        <f t="shared" si="25"/>
        <v>P.023</v>
      </c>
      <c r="AB40" s="365"/>
    </row>
    <row r="41" spans="1:28">
      <c r="A41" s="406" t="s">
        <v>290</v>
      </c>
      <c r="B41" s="290" t="s">
        <v>112</v>
      </c>
      <c r="C41" s="303" t="str">
        <f t="shared" ca="1" si="0"/>
        <v>Fort Townson-Valliant Line Rebuild</v>
      </c>
      <c r="D41" s="292">
        <f t="shared" ca="1" si="0"/>
        <v>2018</v>
      </c>
      <c r="E41" s="324">
        <f t="shared" ca="1" si="0"/>
        <v>35671.491974766584</v>
      </c>
      <c r="F41" s="325">
        <f t="shared" ca="1" si="0"/>
        <v>0</v>
      </c>
      <c r="G41" s="325">
        <f t="shared" ca="1" si="18"/>
        <v>35671.491974766584</v>
      </c>
      <c r="H41" s="326"/>
      <c r="I41" s="324">
        <f t="shared" ca="1" si="7"/>
        <v>-65942.958696918096</v>
      </c>
      <c r="J41" s="490">
        <v>81460.13871045578</v>
      </c>
      <c r="K41" s="491">
        <v>89705.806396543994</v>
      </c>
      <c r="L41" s="451">
        <f t="shared" si="19"/>
        <v>-8245.6676860882144</v>
      </c>
      <c r="M41" s="451"/>
      <c r="N41" s="452">
        <v>0</v>
      </c>
      <c r="O41" s="452">
        <v>0</v>
      </c>
      <c r="P41" s="452">
        <f t="shared" si="20"/>
        <v>0</v>
      </c>
      <c r="Q41" s="451">
        <f t="shared" ca="1" si="8"/>
        <v>-8107.7264551763592</v>
      </c>
      <c r="R41" s="441">
        <f t="shared" ca="1" si="21"/>
        <v>-82296.352838182676</v>
      </c>
      <c r="S41" s="441"/>
      <c r="T41" s="443">
        <f t="shared" ca="1" si="22"/>
        <v>-46624.860863416092</v>
      </c>
      <c r="U41" s="7"/>
      <c r="V41" s="454">
        <f t="shared" ca="1" si="24"/>
        <v>-74188.626383006311</v>
      </c>
      <c r="W41" s="291" t="str">
        <f t="shared" si="25"/>
        <v>P.024</v>
      </c>
      <c r="AB41" s="365"/>
    </row>
    <row r="42" spans="1:28" ht="25.5">
      <c r="A42" s="406" t="s">
        <v>291</v>
      </c>
      <c r="B42" s="290" t="s">
        <v>112</v>
      </c>
      <c r="C42" s="303" t="str">
        <f t="shared" ca="1" si="0"/>
        <v>Duncan-Comanche Tap 69 KV Rebuild and Duncan station upgrades</v>
      </c>
      <c r="D42" s="292">
        <f t="shared" ca="1" si="0"/>
        <v>2018</v>
      </c>
      <c r="E42" s="324">
        <f t="shared" ca="1" si="0"/>
        <v>171175.11640159666</v>
      </c>
      <c r="F42" s="325">
        <f t="shared" ca="1" si="0"/>
        <v>0</v>
      </c>
      <c r="G42" s="325">
        <f t="shared" ca="1" si="18"/>
        <v>171175.11640159666</v>
      </c>
      <c r="H42" s="326"/>
      <c r="I42" s="324">
        <f t="shared" ca="1" si="7"/>
        <v>-27335.272836045813</v>
      </c>
      <c r="J42" s="490">
        <v>94880.774589956171</v>
      </c>
      <c r="K42" s="491">
        <v>104484.92392547654</v>
      </c>
      <c r="L42" s="451">
        <f t="shared" si="19"/>
        <v>-9604.1493355203711</v>
      </c>
      <c r="M42" s="451"/>
      <c r="N42" s="452">
        <v>0</v>
      </c>
      <c r="O42" s="452">
        <v>0</v>
      </c>
      <c r="P42" s="452">
        <f t="shared" si="20"/>
        <v>0</v>
      </c>
      <c r="Q42" s="451">
        <f t="shared" ca="1" si="8"/>
        <v>-4036.9359156639907</v>
      </c>
      <c r="R42" s="441">
        <f t="shared" ca="1" si="21"/>
        <v>-40976.358087230175</v>
      </c>
      <c r="S42" s="441"/>
      <c r="T42" s="443">
        <f t="shared" ca="1" si="22"/>
        <v>130198.75831436648</v>
      </c>
      <c r="U42" s="7"/>
      <c r="V42" s="454">
        <f t="shared" ca="1" si="24"/>
        <v>-36939.422171566184</v>
      </c>
      <c r="W42" s="291" t="str">
        <f t="shared" si="25"/>
        <v>P.025</v>
      </c>
      <c r="AB42" s="365"/>
    </row>
    <row r="43" spans="1:28">
      <c r="A43" s="406" t="s">
        <v>327</v>
      </c>
      <c r="B43" s="290" t="s">
        <v>112</v>
      </c>
      <c r="C43" s="303" t="str">
        <f t="shared" ca="1" si="0"/>
        <v>Tulsa Southeast - E. 61st St 138 kV Rebuild</v>
      </c>
      <c r="D43" s="292">
        <f t="shared" ca="1" si="0"/>
        <v>2019</v>
      </c>
      <c r="E43" s="324">
        <f t="shared" ca="1" si="0"/>
        <v>934062.15757277235</v>
      </c>
      <c r="F43" s="325">
        <f t="shared" ca="1" si="0"/>
        <v>0</v>
      </c>
      <c r="G43" s="325">
        <f ca="1">+E43+F43</f>
        <v>934062.15757277235</v>
      </c>
      <c r="H43" s="326"/>
      <c r="I43" s="324">
        <f t="shared" ca="1" si="7"/>
        <v>0</v>
      </c>
      <c r="J43" s="456">
        <v>0</v>
      </c>
      <c r="K43" s="486"/>
      <c r="L43" s="451">
        <f>+J43-K43</f>
        <v>0</v>
      </c>
      <c r="M43" s="451"/>
      <c r="N43" s="452">
        <v>0</v>
      </c>
      <c r="O43" s="452">
        <v>0</v>
      </c>
      <c r="P43" s="452">
        <f>+N43-O43</f>
        <v>0</v>
      </c>
      <c r="Q43" s="451">
        <f t="shared" ca="1" si="8"/>
        <v>0</v>
      </c>
      <c r="R43" s="441">
        <f ca="1">I43+L43+P43+Q43</f>
        <v>0</v>
      </c>
      <c r="S43" s="441"/>
      <c r="T43" s="443">
        <f ca="1">+G43+R43</f>
        <v>934062.15757277235</v>
      </c>
      <c r="U43" s="7"/>
      <c r="V43" s="454">
        <f t="shared" ca="1" si="24"/>
        <v>0</v>
      </c>
      <c r="W43" s="291" t="str">
        <f t="shared" si="25"/>
        <v>P.026</v>
      </c>
      <c r="AB43" s="365"/>
    </row>
    <row r="44" spans="1:28">
      <c r="A44" s="406" t="s">
        <v>328</v>
      </c>
      <c r="B44" s="290" t="s">
        <v>112</v>
      </c>
      <c r="C44" s="303" t="str">
        <f t="shared" ca="1" si="0"/>
        <v>Broken Arrow North-Lynn Lane East 138 kV</v>
      </c>
      <c r="D44" s="292">
        <f t="shared" ca="1" si="0"/>
        <v>2019</v>
      </c>
      <c r="E44" s="324">
        <f t="shared" ca="1" si="0"/>
        <v>552918.85124067403</v>
      </c>
      <c r="F44" s="325">
        <f t="shared" ca="1" si="0"/>
        <v>0</v>
      </c>
      <c r="G44" s="325">
        <f ca="1">+E44+F44</f>
        <v>552918.85124067403</v>
      </c>
      <c r="H44" s="326"/>
      <c r="I44" s="324">
        <f t="shared" ca="1" si="7"/>
        <v>0</v>
      </c>
      <c r="J44" s="456"/>
      <c r="K44" s="486"/>
      <c r="L44" s="451">
        <f>+J44-K44</f>
        <v>0</v>
      </c>
      <c r="M44" s="451"/>
      <c r="N44" s="452">
        <v>0</v>
      </c>
      <c r="O44" s="452">
        <v>0</v>
      </c>
      <c r="P44" s="452">
        <f>+N44-O44</f>
        <v>0</v>
      </c>
      <c r="Q44" s="451">
        <f t="shared" ca="1" si="8"/>
        <v>0</v>
      </c>
      <c r="R44" s="441">
        <f ca="1">I44+L44+P44+Q44</f>
        <v>0</v>
      </c>
      <c r="S44" s="441"/>
      <c r="T44" s="443">
        <f ca="1">+G44+R44</f>
        <v>552918.85124067403</v>
      </c>
      <c r="U44" s="7"/>
      <c r="V44" s="454">
        <f t="shared" ca="1" si="24"/>
        <v>0</v>
      </c>
      <c r="W44" s="291" t="str">
        <f t="shared" si="25"/>
        <v>P.027</v>
      </c>
      <c r="AB44" s="365"/>
    </row>
    <row r="45" spans="1:28">
      <c r="A45" s="406" t="s">
        <v>341</v>
      </c>
      <c r="B45" s="290" t="s">
        <v>112</v>
      </c>
      <c r="C45" s="487" t="str">
        <f t="shared" ca="1" si="0"/>
        <v>Keystone Dam - Wekiwa 138 kV</v>
      </c>
      <c r="D45" s="292">
        <f t="shared" ca="1" si="0"/>
        <v>2020</v>
      </c>
      <c r="E45" s="324">
        <f t="shared" ca="1" si="0"/>
        <v>109448.17204091245</v>
      </c>
      <c r="F45" s="325">
        <f t="shared" ca="1" si="0"/>
        <v>0</v>
      </c>
      <c r="G45" s="325">
        <f ca="1">+E45+F45</f>
        <v>109448.17204091245</v>
      </c>
      <c r="H45" s="326"/>
      <c r="I45" s="324">
        <f t="shared" ca="1" si="7"/>
        <v>0</v>
      </c>
      <c r="J45" s="456">
        <v>0</v>
      </c>
      <c r="K45" s="486"/>
      <c r="L45" s="451">
        <f>+J45-K45</f>
        <v>0</v>
      </c>
      <c r="M45" s="451"/>
      <c r="N45" s="452">
        <v>0</v>
      </c>
      <c r="O45" s="452">
        <v>0</v>
      </c>
      <c r="P45" s="452">
        <f>+N45-O45</f>
        <v>0</v>
      </c>
      <c r="Q45" s="451">
        <f t="shared" ref="Q45" ca="1" si="26">+V45/$V$47 * $Q$47</f>
        <v>0</v>
      </c>
      <c r="R45" s="441">
        <f ca="1">I45+L45+P45+Q45</f>
        <v>0</v>
      </c>
      <c r="S45" s="441"/>
      <c r="T45" s="443">
        <f ca="1">+G45+R45</f>
        <v>109448.17204091245</v>
      </c>
      <c r="U45" s="7"/>
      <c r="V45" s="454">
        <f t="shared" ref="V45" ca="1" si="27">+I45+L45+P45</f>
        <v>0</v>
      </c>
      <c r="W45" s="291" t="str">
        <f t="shared" ref="W45" si="28">A45</f>
        <v>P.028</v>
      </c>
      <c r="AB45" s="365"/>
    </row>
    <row r="46" spans="1:28">
      <c r="A46" s="291"/>
      <c r="B46" s="291"/>
      <c r="C46" s="291"/>
      <c r="D46" s="290"/>
      <c r="E46" s="441"/>
      <c r="F46" s="441"/>
      <c r="G46" s="441"/>
      <c r="H46" s="294"/>
      <c r="I46" s="441"/>
      <c r="J46" s="441"/>
      <c r="K46" s="442"/>
      <c r="L46" s="441"/>
      <c r="M46" s="441"/>
      <c r="N46" s="441"/>
      <c r="O46" s="441"/>
      <c r="P46" s="441"/>
      <c r="Q46" s="441"/>
      <c r="R46" s="441"/>
      <c r="S46" s="294"/>
      <c r="T46" s="443"/>
      <c r="V46" s="331"/>
      <c r="AB46" s="365"/>
    </row>
    <row r="47" spans="1:28">
      <c r="A47" s="291"/>
      <c r="B47" s="291"/>
      <c r="C47" s="327" t="s">
        <v>171</v>
      </c>
      <c r="D47" s="290"/>
      <c r="E47" s="294">
        <f t="shared" ref="E47:J47" ca="1" si="29">SUM(E18:E45)</f>
        <v>7973838.7799099376</v>
      </c>
      <c r="F47" s="294">
        <f t="shared" ca="1" si="29"/>
        <v>0</v>
      </c>
      <c r="G47" s="294">
        <f t="shared" ca="1" si="29"/>
        <v>7973838.7799099376</v>
      </c>
      <c r="H47" s="294">
        <f t="shared" si="29"/>
        <v>0</v>
      </c>
      <c r="I47" s="294">
        <f t="shared" ca="1" si="29"/>
        <v>-1478847.9388766706</v>
      </c>
      <c r="J47" s="294">
        <f t="shared" si="29"/>
        <v>7312332.2712000329</v>
      </c>
      <c r="K47" s="485">
        <f t="shared" ref="K47:P47" si="30">SUM(K18:K45)</f>
        <v>8052511.0000000028</v>
      </c>
      <c r="L47" s="294">
        <f t="shared" si="30"/>
        <v>-740178.72879996721</v>
      </c>
      <c r="M47" s="294">
        <f t="shared" si="30"/>
        <v>0</v>
      </c>
      <c r="N47" s="294">
        <f t="shared" si="30"/>
        <v>0</v>
      </c>
      <c r="O47" s="294">
        <f t="shared" si="30"/>
        <v>0</v>
      </c>
      <c r="P47" s="294">
        <f t="shared" si="30"/>
        <v>0</v>
      </c>
      <c r="Q47" s="457">
        <v>-242507</v>
      </c>
      <c r="R47" s="294">
        <f ca="1">SUM(R18:R45)</f>
        <v>-2461533.6676766379</v>
      </c>
      <c r="S47" s="294">
        <f>SUM(S18:S45)</f>
        <v>0</v>
      </c>
      <c r="T47" s="296">
        <f ca="1">SUM(T18:T45)</f>
        <v>5512305.1122333007</v>
      </c>
      <c r="V47" s="296">
        <f ca="1">SUM(V18:V45)</f>
        <v>-2219026.6676766374</v>
      </c>
      <c r="W47" s="236" t="s">
        <v>261</v>
      </c>
      <c r="AB47" s="294">
        <f t="shared" ref="AB47" si="31">SUM(AB18:AB45)</f>
        <v>0</v>
      </c>
    </row>
    <row r="48" spans="1:28" ht="13.5" thickBot="1">
      <c r="A48" s="291"/>
      <c r="B48" s="291"/>
      <c r="C48" s="297"/>
      <c r="D48" s="291"/>
      <c r="E48" s="304" t="str">
        <f ca="1">IF(E47=PSO.WS.F.BPU.ATRR.Projected!M19,"","Error")</f>
        <v/>
      </c>
      <c r="F48" s="322" t="str">
        <f ca="1">IF(F47=PSO.WS.F.BPU.ATRR.Projected!O19,"","Error")</f>
        <v/>
      </c>
      <c r="G48" s="322" t="str">
        <f ca="1">IF(G47=PSO.WS.F.BPU.ATRR.Projected!N19,"","Error")</f>
        <v/>
      </c>
      <c r="H48" s="291"/>
      <c r="I48" s="353"/>
      <c r="J48" s="354"/>
      <c r="L48" s="298"/>
      <c r="M48" s="298"/>
      <c r="N48" s="298"/>
      <c r="O48" s="298"/>
      <c r="P48" s="298"/>
      <c r="Q48" s="383" t="str">
        <f ca="1">IF(Q47=SUM(Q18:Q45),"","Error -- check allocations above).")</f>
        <v/>
      </c>
      <c r="R48" s="294"/>
      <c r="S48" s="294"/>
      <c r="T48" s="294"/>
      <c r="V48" s="349"/>
      <c r="W48" s="236"/>
      <c r="AB48" s="365"/>
    </row>
    <row r="49" spans="1:28">
      <c r="A49" s="291"/>
      <c r="B49" s="291"/>
      <c r="C49" s="299" t="s">
        <v>208</v>
      </c>
      <c r="D49" s="291"/>
      <c r="E49" s="294"/>
      <c r="F49" s="294"/>
      <c r="G49" s="294"/>
      <c r="H49" s="291"/>
      <c r="I49" s="355"/>
      <c r="J49" s="355"/>
      <c r="K49" s="291"/>
      <c r="L49" s="291"/>
      <c r="M49" s="291"/>
      <c r="N49" s="298"/>
      <c r="O49" s="298"/>
      <c r="P49" s="298"/>
      <c r="Q49" s="298"/>
      <c r="R49" s="294"/>
      <c r="S49" s="294"/>
      <c r="T49" s="294"/>
      <c r="AB49" s="365"/>
    </row>
    <row r="50" spans="1:28">
      <c r="A50" s="291"/>
      <c r="B50" s="291"/>
      <c r="C50" s="299"/>
      <c r="D50" s="291"/>
      <c r="E50" s="294"/>
      <c r="F50" s="294"/>
      <c r="G50" s="294"/>
      <c r="H50" s="291"/>
      <c r="I50" s="365"/>
      <c r="J50" s="300"/>
      <c r="K50" s="293"/>
      <c r="L50" s="291"/>
      <c r="M50" s="291"/>
      <c r="N50" s="298"/>
      <c r="O50" s="298"/>
      <c r="P50" s="298"/>
      <c r="Q50" s="298"/>
      <c r="R50" s="298"/>
      <c r="S50" s="291"/>
      <c r="T50" s="291"/>
    </row>
    <row r="51" spans="1:28">
      <c r="E51" s="10"/>
      <c r="F51" s="10"/>
      <c r="G51" s="10"/>
      <c r="I51" s="10"/>
      <c r="J51" s="347"/>
      <c r="N51" s="283"/>
      <c r="O51" s="283"/>
      <c r="P51" s="283"/>
      <c r="Q51" s="455"/>
      <c r="R51" s="283"/>
    </row>
    <row r="52" spans="1:28">
      <c r="E52" s="10"/>
      <c r="F52" s="10"/>
      <c r="G52" s="10"/>
    </row>
    <row r="53" spans="1:28">
      <c r="A53" s="306" t="s">
        <v>182</v>
      </c>
      <c r="B53" s="307"/>
      <c r="C53" s="307"/>
      <c r="D53" s="307"/>
      <c r="E53" s="308"/>
      <c r="F53" s="308"/>
      <c r="G53" s="308"/>
      <c r="H53" s="307"/>
      <c r="I53" s="307"/>
      <c r="J53" s="307"/>
      <c r="K53" s="307"/>
      <c r="L53" s="307"/>
      <c r="M53" s="307"/>
      <c r="N53" s="307"/>
      <c r="O53" s="234"/>
      <c r="V53" t="s">
        <v>193</v>
      </c>
    </row>
    <row r="54" spans="1:28" ht="15.75">
      <c r="A54" s="309" t="s">
        <v>185</v>
      </c>
      <c r="B54" s="7"/>
      <c r="C54" s="310" t="str">
        <f ca="1">RIGHT(CELL("address",P.001!D7),4)</f>
        <v>$D$7</v>
      </c>
      <c r="D54" s="310" t="str">
        <f ca="1">RIGHT(CELL("address",P.001!D11),4)</f>
        <v>D$11</v>
      </c>
      <c r="E54" s="310" t="str">
        <f ca="1">RIGHT(CELL("address",P.001!N5),4)</f>
        <v>$N$5</v>
      </c>
      <c r="F54" s="310" t="str">
        <f ca="1">RIGHT(CELL("address",P.001!N7),4)</f>
        <v>$N$7</v>
      </c>
      <c r="G54" s="7"/>
      <c r="H54" s="311"/>
      <c r="I54" s="310" t="str">
        <f ca="1">RIGHT(CELL("address",P.001!M89),4)</f>
        <v>M$89</v>
      </c>
      <c r="J54" s="310"/>
      <c r="K54" s="7"/>
      <c r="L54" s="7"/>
      <c r="M54" s="7"/>
      <c r="N54" s="310" t="str">
        <f ca="1">RIGHT(CELL("address",P.001!N87),4)</f>
        <v>N$87</v>
      </c>
      <c r="O54" s="312" t="str">
        <f ca="1">RIGHT(CELL("address",P.001!N88),4)</f>
        <v>N$88</v>
      </c>
      <c r="P54" s="49" t="s">
        <v>184</v>
      </c>
      <c r="V54" t="s">
        <v>194</v>
      </c>
    </row>
    <row r="55" spans="1:28">
      <c r="A55" s="313" t="s">
        <v>186</v>
      </c>
      <c r="B55" s="314"/>
      <c r="C55" s="314"/>
      <c r="D55" s="314"/>
      <c r="E55" s="282"/>
      <c r="F55" s="282"/>
      <c r="G55" s="282"/>
      <c r="H55" s="314"/>
      <c r="I55" s="314"/>
      <c r="J55" s="314"/>
      <c r="K55" s="314"/>
      <c r="L55" s="314"/>
      <c r="M55" s="314"/>
      <c r="N55" s="314"/>
      <c r="O55" s="315"/>
      <c r="V55" t="s">
        <v>195</v>
      </c>
    </row>
    <row r="56" spans="1:28">
      <c r="E56" s="10"/>
      <c r="F56" s="10"/>
      <c r="G56" s="10"/>
      <c r="V56" t="s">
        <v>196</v>
      </c>
    </row>
    <row r="57" spans="1:28">
      <c r="A57" s="1" t="s">
        <v>234</v>
      </c>
      <c r="B57" s="1" t="s">
        <v>235</v>
      </c>
      <c r="E57" s="10"/>
      <c r="F57" s="10"/>
      <c r="G57" s="10"/>
      <c r="V57" s="232" t="s">
        <v>215</v>
      </c>
    </row>
    <row r="58" spans="1:28">
      <c r="B58" s="1" t="s">
        <v>238</v>
      </c>
      <c r="E58" s="10"/>
      <c r="F58" s="10"/>
      <c r="G58" s="10"/>
    </row>
    <row r="59" spans="1:28">
      <c r="B59" s="1" t="s">
        <v>239</v>
      </c>
      <c r="E59" s="10"/>
      <c r="F59" s="10"/>
      <c r="G59" s="10"/>
    </row>
    <row r="60" spans="1:28">
      <c r="B60" s="1" t="s">
        <v>236</v>
      </c>
      <c r="E60" s="10"/>
      <c r="F60" s="10"/>
      <c r="G60" s="10"/>
    </row>
    <row r="61" spans="1:28">
      <c r="B61" s="1" t="s">
        <v>237</v>
      </c>
      <c r="E61" s="10"/>
      <c r="F61" s="10"/>
      <c r="G61" s="10"/>
      <c r="K61" s="348"/>
    </row>
    <row r="62" spans="1:28">
      <c r="B62" s="1" t="s">
        <v>240</v>
      </c>
      <c r="E62" s="10"/>
      <c r="F62" s="10"/>
      <c r="G62" s="10"/>
    </row>
    <row r="63" spans="1:28">
      <c r="E63" s="10"/>
      <c r="F63" s="10"/>
      <c r="G63" s="10"/>
    </row>
    <row r="64" spans="1:28">
      <c r="E64" s="10"/>
      <c r="F64" s="10"/>
      <c r="G64" s="10"/>
    </row>
    <row r="65" spans="5:7">
      <c r="E65" s="10"/>
      <c r="F65" s="10"/>
      <c r="G65" s="10"/>
    </row>
    <row r="66" spans="5:7">
      <c r="E66" s="10"/>
      <c r="F66" s="10"/>
      <c r="G66" s="10"/>
    </row>
    <row r="67" spans="5:7">
      <c r="E67" s="10"/>
      <c r="F67" s="10"/>
      <c r="G67" s="10"/>
    </row>
  </sheetData>
  <mergeCells count="2">
    <mergeCell ref="E13:G13"/>
    <mergeCell ref="T14:T16"/>
  </mergeCells>
  <phoneticPr fontId="62" type="noConversion"/>
  <pageMargins left="0.5" right="0.5" top="1" bottom="1" header="0.65" footer="0.5"/>
  <pageSetup scale="52" orientation="landscape" r:id="rId1"/>
  <headerFooter alignWithMargins="0">
    <oddHeader xml:space="preserve">&amp;R&amp;16AEP - SPP Formula Rate
Schedule 11 Revenue Requirements
Public Service Company of Oklahoma
Page: &amp;P of &amp;N
</oddHeader>
    <oddFooter>&amp;L&amp;A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tabColor rgb="FFC00000"/>
  </sheetPr>
  <dimension ref="A1:P162"/>
  <sheetViews>
    <sheetView view="pageBreakPreview" zoomScale="75" zoomScaleNormal="100" workbookViewId="0">
      <selection activeCell="I21" sqref="I21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"&amp;RIGHT(MID(CELL("filename",$A$1),FIND("]",CELL("filename",$A$1))+1,256),1)&amp;" of "&amp;COUNT('P.001:P.xyz - blank'!$P$3)-1</f>
        <v>PSO Project 7 of 28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275</v>
      </c>
      <c r="L5" s="119"/>
      <c r="M5" s="120"/>
      <c r="N5" s="121">
        <f>VLOOKUP(I10,C17:I72,5)</f>
        <v>8871.8674914200565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276</v>
      </c>
      <c r="L6" s="125"/>
      <c r="M6" s="4"/>
      <c r="N6" s="126">
        <f>VLOOKUP(I10,C17:I72,6)</f>
        <v>8871.8674914200565</v>
      </c>
      <c r="O6" s="1"/>
      <c r="P6" s="1"/>
    </row>
    <row r="7" spans="1:16" ht="13.5" thickBot="1">
      <c r="C7" s="127" t="s">
        <v>41</v>
      </c>
      <c r="D7" s="343" t="s">
        <v>205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 t="str">
        <f>IF(D10&lt;100000,"DOES NOT MEET SPP $100,000 MINIMUM INVESTMENT FOR REGIONAL BPU SHARING.","")</f>
        <v>DOES NOT MEET SPP $100,000 MINIMUM INVESTMENT FOR REGIONAL BPU SHARING.</v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A9" s="107"/>
      <c r="C9" s="133" t="s">
        <v>43</v>
      </c>
      <c r="D9" s="229" t="s">
        <v>81</v>
      </c>
      <c r="E9" s="427" t="s">
        <v>305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84424</v>
      </c>
      <c r="E10" s="64" t="s">
        <v>46</v>
      </c>
      <c r="F10" s="137"/>
      <c r="G10" s="139"/>
      <c r="H10" s="139"/>
      <c r="I10" s="140">
        <f>+PSO.WS.F.BPU.ATRR.Projected!L19</f>
        <v>2020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2007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12</v>
      </c>
      <c r="E12" s="141" t="s">
        <v>51</v>
      </c>
      <c r="F12" s="139"/>
      <c r="G12" s="7"/>
      <c r="H12" s="7"/>
      <c r="I12" s="145">
        <f>PSO.WS.F.BPU.ATRR.Projected!$F$81</f>
        <v>0.10800477690995318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42</v>
      </c>
      <c r="E13" s="141" t="s">
        <v>54</v>
      </c>
      <c r="F13" s="139"/>
      <c r="G13" s="7"/>
      <c r="H13" s="7"/>
      <c r="I13" s="145">
        <f>IF(G5="",I12,PSO.WS.F.BPU.ATRR.Projected!$F$80)</f>
        <v>0.10800477690995318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IF(D10=0,0,ROUND(D10/D13,0))</f>
        <v>2010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277</v>
      </c>
      <c r="H15" s="362" t="s">
        <v>278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2007</v>
      </c>
      <c r="D17" s="366">
        <v>84424</v>
      </c>
      <c r="E17" s="367">
        <v>0</v>
      </c>
      <c r="F17" s="366">
        <v>84424</v>
      </c>
      <c r="G17" s="367">
        <v>0</v>
      </c>
      <c r="H17" s="370">
        <v>0</v>
      </c>
      <c r="I17" s="160">
        <f t="shared" ref="I17:I48" si="0">H17-G17</f>
        <v>0</v>
      </c>
      <c r="J17" s="160"/>
      <c r="K17" s="337">
        <v>0</v>
      </c>
      <c r="L17" s="161">
        <f t="shared" ref="L17:L48" si="1">IF(K17&lt;&gt;0,+G17-K17,0)</f>
        <v>0</v>
      </c>
      <c r="M17" s="337">
        <v>0</v>
      </c>
      <c r="N17" s="161">
        <f t="shared" ref="N17:N48" si="2">IF(M17&lt;&gt;0,+H17-M17,0)</f>
        <v>0</v>
      </c>
      <c r="O17" s="162">
        <f t="shared" ref="O17:O48" si="3">+N17-L17</f>
        <v>0</v>
      </c>
      <c r="P17" s="4"/>
    </row>
    <row r="18" spans="2:16">
      <c r="B18" s="9" t="str">
        <f>IF(D18=F17,"","IU")</f>
        <v/>
      </c>
      <c r="C18" s="157">
        <f>IF(D11="","-",+C17+1)</f>
        <v>2008</v>
      </c>
      <c r="D18" s="371">
        <v>84424</v>
      </c>
      <c r="E18" s="368">
        <v>1508</v>
      </c>
      <c r="F18" s="371">
        <v>82916</v>
      </c>
      <c r="G18" s="368">
        <v>0</v>
      </c>
      <c r="H18" s="370">
        <v>0</v>
      </c>
      <c r="I18" s="160">
        <f t="shared" si="0"/>
        <v>0</v>
      </c>
      <c r="J18" s="160"/>
      <c r="K18" s="338">
        <v>0</v>
      </c>
      <c r="L18" s="162">
        <f t="shared" si="1"/>
        <v>0</v>
      </c>
      <c r="M18" s="338">
        <v>0</v>
      </c>
      <c r="N18" s="162">
        <f t="shared" si="2"/>
        <v>0</v>
      </c>
      <c r="O18" s="162">
        <f t="shared" si="3"/>
        <v>0</v>
      </c>
      <c r="P18" s="4"/>
    </row>
    <row r="19" spans="2:16">
      <c r="B19" s="9" t="str">
        <f>IF(D19=F18,"","IU")</f>
        <v/>
      </c>
      <c r="C19" s="157">
        <f>IF(D11="","-",+C18+1)</f>
        <v>2009</v>
      </c>
      <c r="D19" s="371">
        <v>82916</v>
      </c>
      <c r="E19" s="368">
        <v>1508</v>
      </c>
      <c r="F19" s="371">
        <v>81408</v>
      </c>
      <c r="G19" s="368">
        <v>0</v>
      </c>
      <c r="H19" s="370">
        <v>0</v>
      </c>
      <c r="I19" s="160">
        <f t="shared" si="0"/>
        <v>0</v>
      </c>
      <c r="J19" s="160"/>
      <c r="K19" s="338">
        <v>0</v>
      </c>
      <c r="L19" s="162">
        <f t="shared" si="1"/>
        <v>0</v>
      </c>
      <c r="M19" s="338">
        <v>0</v>
      </c>
      <c r="N19" s="162">
        <f t="shared" si="2"/>
        <v>0</v>
      </c>
      <c r="O19" s="162">
        <f t="shared" si="3"/>
        <v>0</v>
      </c>
      <c r="P19" s="4"/>
    </row>
    <row r="20" spans="2:16">
      <c r="B20" s="9" t="str">
        <f t="shared" ref="B20:B72" si="4">IF(D20=F19,"","IU")</f>
        <v/>
      </c>
      <c r="C20" s="157">
        <f>IF(D11="","-",+C19+1)</f>
        <v>2010</v>
      </c>
      <c r="D20" s="371">
        <v>81408</v>
      </c>
      <c r="E20" s="368">
        <v>1508</v>
      </c>
      <c r="F20" s="371">
        <v>79900</v>
      </c>
      <c r="G20" s="368">
        <v>13037.291488737637</v>
      </c>
      <c r="H20" s="370">
        <v>13037.291488737637</v>
      </c>
      <c r="I20" s="160">
        <v>0</v>
      </c>
      <c r="J20" s="160"/>
      <c r="K20" s="380">
        <f t="shared" ref="K20:K25" si="5">G20</f>
        <v>13037.291488737637</v>
      </c>
      <c r="L20" s="381">
        <f t="shared" si="1"/>
        <v>0</v>
      </c>
      <c r="M20" s="380">
        <f t="shared" ref="M20:M25" si="6">H20</f>
        <v>13037.291488737637</v>
      </c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4"/>
        <v/>
      </c>
      <c r="C21" s="157">
        <f>IF(D11="","-",+C20+1)</f>
        <v>2011</v>
      </c>
      <c r="D21" s="371">
        <v>79900</v>
      </c>
      <c r="E21" s="368">
        <v>1655</v>
      </c>
      <c r="F21" s="371">
        <v>78245</v>
      </c>
      <c r="G21" s="368">
        <v>13903.733792156472</v>
      </c>
      <c r="H21" s="370">
        <v>13903.733792156472</v>
      </c>
      <c r="I21" s="160">
        <f t="shared" si="0"/>
        <v>0</v>
      </c>
      <c r="J21" s="160"/>
      <c r="K21" s="338">
        <f t="shared" si="5"/>
        <v>13903.733792156472</v>
      </c>
      <c r="L21" s="272">
        <f t="shared" si="1"/>
        <v>0</v>
      </c>
      <c r="M21" s="338">
        <f t="shared" si="6"/>
        <v>13903.733792156472</v>
      </c>
      <c r="N21" s="162">
        <f t="shared" si="2"/>
        <v>0</v>
      </c>
      <c r="O21" s="162">
        <f t="shared" si="3"/>
        <v>0</v>
      </c>
      <c r="P21" s="4"/>
    </row>
    <row r="22" spans="2:16">
      <c r="B22" s="9" t="str">
        <f t="shared" si="4"/>
        <v/>
      </c>
      <c r="C22" s="157">
        <f>IF(D11="","-",+C21+1)</f>
        <v>2012</v>
      </c>
      <c r="D22" s="371">
        <v>78245</v>
      </c>
      <c r="E22" s="368">
        <v>1624</v>
      </c>
      <c r="F22" s="371">
        <v>76621</v>
      </c>
      <c r="G22" s="368">
        <v>12290.159159207155</v>
      </c>
      <c r="H22" s="370">
        <v>12290.159159207155</v>
      </c>
      <c r="I22" s="160">
        <f t="shared" si="0"/>
        <v>0</v>
      </c>
      <c r="J22" s="160"/>
      <c r="K22" s="338">
        <f t="shared" si="5"/>
        <v>12290.159159207155</v>
      </c>
      <c r="L22" s="272">
        <f t="shared" si="1"/>
        <v>0</v>
      </c>
      <c r="M22" s="338">
        <f t="shared" si="6"/>
        <v>12290.159159207155</v>
      </c>
      <c r="N22" s="162">
        <f t="shared" si="2"/>
        <v>0</v>
      </c>
      <c r="O22" s="162">
        <f t="shared" si="3"/>
        <v>0</v>
      </c>
      <c r="P22" s="4"/>
    </row>
    <row r="23" spans="2:16">
      <c r="B23" s="9" t="str">
        <f t="shared" si="4"/>
        <v/>
      </c>
      <c r="C23" s="157">
        <f>IF(D11="","-",+C22+1)</f>
        <v>2013</v>
      </c>
      <c r="D23" s="371">
        <v>76621</v>
      </c>
      <c r="E23" s="368">
        <v>1624</v>
      </c>
      <c r="F23" s="371">
        <v>74997</v>
      </c>
      <c r="G23" s="368">
        <v>12334.078606810854</v>
      </c>
      <c r="H23" s="370">
        <v>12334.078606810854</v>
      </c>
      <c r="I23" s="160">
        <v>0</v>
      </c>
      <c r="J23" s="160"/>
      <c r="K23" s="338">
        <f t="shared" si="5"/>
        <v>12334.078606810854</v>
      </c>
      <c r="L23" s="272">
        <f t="shared" ref="L23:L28" si="7">IF(K23&lt;&gt;0,+G23-K23,0)</f>
        <v>0</v>
      </c>
      <c r="M23" s="338">
        <f t="shared" si="6"/>
        <v>12334.078606810854</v>
      </c>
      <c r="N23" s="162">
        <f t="shared" ref="N23:N28" si="8">IF(M23&lt;&gt;0,+H23-M23,0)</f>
        <v>0</v>
      </c>
      <c r="O23" s="162">
        <f t="shared" ref="O23:O28" si="9">+N23-L23</f>
        <v>0</v>
      </c>
      <c r="P23" s="4"/>
    </row>
    <row r="24" spans="2:16">
      <c r="B24" s="9" t="str">
        <f t="shared" si="4"/>
        <v/>
      </c>
      <c r="C24" s="157">
        <f>IF(D11="","-",+C23+1)</f>
        <v>2014</v>
      </c>
      <c r="D24" s="371">
        <v>74997</v>
      </c>
      <c r="E24" s="368">
        <v>1624</v>
      </c>
      <c r="F24" s="371">
        <v>73373</v>
      </c>
      <c r="G24" s="368">
        <v>11724.436761777028</v>
      </c>
      <c r="H24" s="370">
        <v>11724.436761777028</v>
      </c>
      <c r="I24" s="160">
        <v>0</v>
      </c>
      <c r="J24" s="160"/>
      <c r="K24" s="338">
        <f t="shared" si="5"/>
        <v>11724.436761777028</v>
      </c>
      <c r="L24" s="272">
        <f t="shared" si="7"/>
        <v>0</v>
      </c>
      <c r="M24" s="338">
        <f t="shared" si="6"/>
        <v>11724.436761777028</v>
      </c>
      <c r="N24" s="162">
        <f t="shared" si="8"/>
        <v>0</v>
      </c>
      <c r="O24" s="162">
        <f t="shared" si="9"/>
        <v>0</v>
      </c>
      <c r="P24" s="4"/>
    </row>
    <row r="25" spans="2:16">
      <c r="B25" s="9" t="str">
        <f t="shared" si="4"/>
        <v/>
      </c>
      <c r="C25" s="157">
        <f>IF(D11="","-",+C24+1)</f>
        <v>2015</v>
      </c>
      <c r="D25" s="371">
        <v>73373</v>
      </c>
      <c r="E25" s="368">
        <v>1624</v>
      </c>
      <c r="F25" s="371">
        <v>71749</v>
      </c>
      <c r="G25" s="368">
        <v>11516.153501332747</v>
      </c>
      <c r="H25" s="370">
        <v>11516.153501332747</v>
      </c>
      <c r="I25" s="160">
        <v>0</v>
      </c>
      <c r="J25" s="160"/>
      <c r="K25" s="338">
        <f t="shared" si="5"/>
        <v>11516.153501332747</v>
      </c>
      <c r="L25" s="272">
        <f t="shared" si="7"/>
        <v>0</v>
      </c>
      <c r="M25" s="338">
        <f t="shared" si="6"/>
        <v>11516.153501332747</v>
      </c>
      <c r="N25" s="162">
        <f t="shared" si="8"/>
        <v>0</v>
      </c>
      <c r="O25" s="162">
        <f t="shared" si="9"/>
        <v>0</v>
      </c>
      <c r="P25" s="4"/>
    </row>
    <row r="26" spans="2:16">
      <c r="B26" s="9" t="str">
        <f t="shared" si="4"/>
        <v/>
      </c>
      <c r="C26" s="157">
        <f>IF(D11="","-",+C25+1)</f>
        <v>2016</v>
      </c>
      <c r="D26" s="371">
        <v>71749</v>
      </c>
      <c r="E26" s="368">
        <v>1624</v>
      </c>
      <c r="F26" s="371">
        <v>70125</v>
      </c>
      <c r="G26" s="368">
        <v>10821.569336122064</v>
      </c>
      <c r="H26" s="370">
        <v>10821.569336122064</v>
      </c>
      <c r="I26" s="160">
        <f t="shared" si="0"/>
        <v>0</v>
      </c>
      <c r="J26" s="160"/>
      <c r="K26" s="338">
        <f>G26</f>
        <v>10821.569336122064</v>
      </c>
      <c r="L26" s="272">
        <f t="shared" si="7"/>
        <v>0</v>
      </c>
      <c r="M26" s="338">
        <f>H26</f>
        <v>10821.569336122064</v>
      </c>
      <c r="N26" s="162">
        <f t="shared" si="8"/>
        <v>0</v>
      </c>
      <c r="O26" s="162">
        <f t="shared" si="9"/>
        <v>0</v>
      </c>
      <c r="P26" s="4"/>
    </row>
    <row r="27" spans="2:16">
      <c r="B27" s="9" t="str">
        <f t="shared" si="4"/>
        <v/>
      </c>
      <c r="C27" s="157">
        <f>IF(D11="","-",+C26+1)</f>
        <v>2017</v>
      </c>
      <c r="D27" s="371">
        <v>70125</v>
      </c>
      <c r="E27" s="368">
        <v>1835</v>
      </c>
      <c r="F27" s="371">
        <v>68290</v>
      </c>
      <c r="G27" s="368">
        <v>10525.630110064558</v>
      </c>
      <c r="H27" s="370">
        <v>10525.630110064558</v>
      </c>
      <c r="I27" s="160">
        <v>0</v>
      </c>
      <c r="J27" s="160"/>
      <c r="K27" s="338">
        <f>G27</f>
        <v>10525.630110064558</v>
      </c>
      <c r="L27" s="272">
        <f t="shared" si="7"/>
        <v>0</v>
      </c>
      <c r="M27" s="338">
        <f>H27</f>
        <v>10525.630110064558</v>
      </c>
      <c r="N27" s="162">
        <f t="shared" si="8"/>
        <v>0</v>
      </c>
      <c r="O27" s="162">
        <f t="shared" si="9"/>
        <v>0</v>
      </c>
      <c r="P27" s="4"/>
    </row>
    <row r="28" spans="2:16">
      <c r="B28" s="9" t="str">
        <f t="shared" si="4"/>
        <v/>
      </c>
      <c r="C28" s="157">
        <f>IF(D11="","-",+C27+1)</f>
        <v>2018</v>
      </c>
      <c r="D28" s="371">
        <v>68290</v>
      </c>
      <c r="E28" s="368">
        <v>1876</v>
      </c>
      <c r="F28" s="371">
        <v>66414</v>
      </c>
      <c r="G28" s="368">
        <v>10864.165928547483</v>
      </c>
      <c r="H28" s="370">
        <v>10864.165928547483</v>
      </c>
      <c r="I28" s="160">
        <f t="shared" si="0"/>
        <v>0</v>
      </c>
      <c r="J28" s="160"/>
      <c r="K28" s="338">
        <f>G28</f>
        <v>10864.165928547483</v>
      </c>
      <c r="L28" s="272">
        <f t="shared" si="7"/>
        <v>0</v>
      </c>
      <c r="M28" s="338">
        <f>H28</f>
        <v>10864.165928547483</v>
      </c>
      <c r="N28" s="162">
        <f t="shared" si="8"/>
        <v>0</v>
      </c>
      <c r="O28" s="162">
        <f t="shared" si="9"/>
        <v>0</v>
      </c>
      <c r="P28" s="4"/>
    </row>
    <row r="29" spans="2:16">
      <c r="B29" s="9" t="str">
        <f t="shared" si="4"/>
        <v/>
      </c>
      <c r="C29" s="157">
        <f>IF(D11="","-",+C28+1)</f>
        <v>2019</v>
      </c>
      <c r="D29" s="371">
        <v>66414</v>
      </c>
      <c r="E29" s="368">
        <v>1876</v>
      </c>
      <c r="F29" s="371">
        <v>64538</v>
      </c>
      <c r="G29" s="368">
        <v>10610.276699138698</v>
      </c>
      <c r="H29" s="370">
        <v>10610.276699138698</v>
      </c>
      <c r="I29" s="160">
        <f t="shared" si="0"/>
        <v>0</v>
      </c>
      <c r="J29" s="160"/>
      <c r="K29" s="338">
        <f>G29</f>
        <v>10610.276699138698</v>
      </c>
      <c r="L29" s="272">
        <f t="shared" ref="L29" si="10">IF(K29&lt;&gt;0,+G29-K29,0)</f>
        <v>0</v>
      </c>
      <c r="M29" s="338">
        <f>H29</f>
        <v>10610.276699138698</v>
      </c>
      <c r="N29" s="162">
        <f t="shared" ref="N29" si="11">IF(M29&lt;&gt;0,+H29-M29,0)</f>
        <v>0</v>
      </c>
      <c r="O29" s="162">
        <f t="shared" si="3"/>
        <v>0</v>
      </c>
      <c r="P29" s="4"/>
    </row>
    <row r="30" spans="2:16">
      <c r="B30" s="9" t="str">
        <f t="shared" si="4"/>
        <v/>
      </c>
      <c r="C30" s="157">
        <f>IF(D11="","-",+C29+1)</f>
        <v>2020</v>
      </c>
      <c r="D30" s="163">
        <f>IF(F29+SUM(E$17:E29)=D$10,F29,D$10-SUM(E$17:E29))</f>
        <v>64538</v>
      </c>
      <c r="E30" s="164">
        <f>IF(+I14&lt;F29,I14,D30)</f>
        <v>2010</v>
      </c>
      <c r="F30" s="163">
        <f t="shared" ref="F30:F48" si="12">+D30-E30</f>
        <v>62528</v>
      </c>
      <c r="G30" s="165">
        <f t="shared" ref="G30:G72" si="13">(D30+F30)/2*I$12+E30</f>
        <v>8871.8674914200565</v>
      </c>
      <c r="H30" s="147">
        <f t="shared" ref="H30:H72" si="14">+(D30+F30)/2*I$13+E30</f>
        <v>8871.8674914200565</v>
      </c>
      <c r="I30" s="160">
        <f t="shared" si="0"/>
        <v>0</v>
      </c>
      <c r="J30" s="160"/>
      <c r="K30" s="335"/>
      <c r="L30" s="162">
        <f t="shared" si="1"/>
        <v>0</v>
      </c>
      <c r="M30" s="335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4"/>
        <v/>
      </c>
      <c r="C31" s="157">
        <f>IF(D11="","-",+C30+1)</f>
        <v>2021</v>
      </c>
      <c r="D31" s="163">
        <f>IF(F30+SUM(E$17:E30)=D$10,F30,D$10-SUM(E$17:E30))</f>
        <v>62528</v>
      </c>
      <c r="E31" s="164">
        <f>IF(+I14&lt;F30,I14,D31)</f>
        <v>2010</v>
      </c>
      <c r="F31" s="163">
        <f t="shared" si="12"/>
        <v>60518</v>
      </c>
      <c r="G31" s="165">
        <f t="shared" si="13"/>
        <v>8654.7778898310498</v>
      </c>
      <c r="H31" s="147">
        <f t="shared" si="14"/>
        <v>8654.7778898310498</v>
      </c>
      <c r="I31" s="160">
        <f t="shared" si="0"/>
        <v>0</v>
      </c>
      <c r="J31" s="160"/>
      <c r="K31" s="335"/>
      <c r="L31" s="162">
        <f t="shared" si="1"/>
        <v>0</v>
      </c>
      <c r="M31" s="335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4"/>
        <v/>
      </c>
      <c r="C32" s="157">
        <f>IF(D11="","-",+C31+1)</f>
        <v>2022</v>
      </c>
      <c r="D32" s="163">
        <f>IF(F31+SUM(E$17:E31)=D$10,F31,D$10-SUM(E$17:E31))</f>
        <v>60518</v>
      </c>
      <c r="E32" s="164">
        <f>IF(+I14&lt;F31,I14,D32)</f>
        <v>2010</v>
      </c>
      <c r="F32" s="163">
        <f t="shared" si="12"/>
        <v>58508</v>
      </c>
      <c r="G32" s="165">
        <f t="shared" si="13"/>
        <v>8437.6882882420432</v>
      </c>
      <c r="H32" s="147">
        <f t="shared" si="14"/>
        <v>8437.6882882420432</v>
      </c>
      <c r="I32" s="160">
        <f t="shared" si="0"/>
        <v>0</v>
      </c>
      <c r="J32" s="160"/>
      <c r="K32" s="335"/>
      <c r="L32" s="162">
        <f t="shared" si="1"/>
        <v>0</v>
      </c>
      <c r="M32" s="335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4"/>
        <v/>
      </c>
      <c r="C33" s="157">
        <f>IF(D11="","-",+C32+1)</f>
        <v>2023</v>
      </c>
      <c r="D33" s="163">
        <f>IF(F32+SUM(E$17:E32)=D$10,F32,D$10-SUM(E$17:E32))</f>
        <v>58508</v>
      </c>
      <c r="E33" s="164">
        <f>IF(+I14&lt;F32,I14,D33)</f>
        <v>2010</v>
      </c>
      <c r="F33" s="163">
        <f t="shared" si="12"/>
        <v>56498</v>
      </c>
      <c r="G33" s="165">
        <f t="shared" si="13"/>
        <v>8220.5986866530366</v>
      </c>
      <c r="H33" s="147">
        <f t="shared" si="14"/>
        <v>8220.5986866530366</v>
      </c>
      <c r="I33" s="160">
        <f t="shared" si="0"/>
        <v>0</v>
      </c>
      <c r="J33" s="160"/>
      <c r="K33" s="335"/>
      <c r="L33" s="162">
        <f t="shared" si="1"/>
        <v>0</v>
      </c>
      <c r="M33" s="335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4"/>
        <v/>
      </c>
      <c r="C34" s="157">
        <f>IF(D11="","-",+C33+1)</f>
        <v>2024</v>
      </c>
      <c r="D34" s="163">
        <f>IF(F33+SUM(E$17:E33)=D$10,F33,D$10-SUM(E$17:E33))</f>
        <v>56498</v>
      </c>
      <c r="E34" s="164">
        <f>IF(+I14&lt;F33,I14,D34)</f>
        <v>2010</v>
      </c>
      <c r="F34" s="163">
        <f t="shared" si="12"/>
        <v>54488</v>
      </c>
      <c r="G34" s="165">
        <f t="shared" si="13"/>
        <v>8003.5090850640318</v>
      </c>
      <c r="H34" s="147">
        <f t="shared" si="14"/>
        <v>8003.5090850640318</v>
      </c>
      <c r="I34" s="160">
        <f t="shared" si="0"/>
        <v>0</v>
      </c>
      <c r="J34" s="160"/>
      <c r="K34" s="335"/>
      <c r="L34" s="162">
        <f t="shared" si="1"/>
        <v>0</v>
      </c>
      <c r="M34" s="335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4"/>
        <v/>
      </c>
      <c r="C35" s="157">
        <f>IF(D11="","-",+C34+1)</f>
        <v>2025</v>
      </c>
      <c r="D35" s="163">
        <f>IF(F34+SUM(E$17:E34)=D$10,F34,D$10-SUM(E$17:E34))</f>
        <v>54488</v>
      </c>
      <c r="E35" s="164">
        <f>IF(+I14&lt;F34,I14,D35)</f>
        <v>2010</v>
      </c>
      <c r="F35" s="163">
        <f t="shared" si="12"/>
        <v>52478</v>
      </c>
      <c r="G35" s="165">
        <f t="shared" si="13"/>
        <v>7786.419483475026</v>
      </c>
      <c r="H35" s="147">
        <f t="shared" si="14"/>
        <v>7786.419483475026</v>
      </c>
      <c r="I35" s="160">
        <f t="shared" si="0"/>
        <v>0</v>
      </c>
      <c r="J35" s="160"/>
      <c r="K35" s="335"/>
      <c r="L35" s="162">
        <f t="shared" si="1"/>
        <v>0</v>
      </c>
      <c r="M35" s="335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4"/>
        <v/>
      </c>
      <c r="C36" s="157">
        <f>IF(D11="","-",+C35+1)</f>
        <v>2026</v>
      </c>
      <c r="D36" s="163">
        <f>IF(F35+SUM(E$17:E35)=D$10,F35,D$10-SUM(E$17:E35))</f>
        <v>52478</v>
      </c>
      <c r="E36" s="164">
        <f>IF(+I14&lt;F35,I14,D36)</f>
        <v>2010</v>
      </c>
      <c r="F36" s="163">
        <f t="shared" si="12"/>
        <v>50468</v>
      </c>
      <c r="G36" s="165">
        <f t="shared" si="13"/>
        <v>7569.3298818860203</v>
      </c>
      <c r="H36" s="147">
        <f t="shared" si="14"/>
        <v>7569.3298818860203</v>
      </c>
      <c r="I36" s="160">
        <f t="shared" si="0"/>
        <v>0</v>
      </c>
      <c r="J36" s="160"/>
      <c r="K36" s="335"/>
      <c r="L36" s="162">
        <f t="shared" si="1"/>
        <v>0</v>
      </c>
      <c r="M36" s="335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4"/>
        <v/>
      </c>
      <c r="C37" s="157">
        <f>IF(D11="","-",+C36+1)</f>
        <v>2027</v>
      </c>
      <c r="D37" s="163">
        <f>IF(F36+SUM(E$17:E36)=D$10,F36,D$10-SUM(E$17:E36))</f>
        <v>50468</v>
      </c>
      <c r="E37" s="164">
        <f>IF(+I14&lt;F36,I14,D37)</f>
        <v>2010</v>
      </c>
      <c r="F37" s="163">
        <f t="shared" si="12"/>
        <v>48458</v>
      </c>
      <c r="G37" s="165">
        <f t="shared" si="13"/>
        <v>7352.2402802970137</v>
      </c>
      <c r="H37" s="147">
        <f t="shared" si="14"/>
        <v>7352.2402802970137</v>
      </c>
      <c r="I37" s="160">
        <f t="shared" si="0"/>
        <v>0</v>
      </c>
      <c r="J37" s="160"/>
      <c r="K37" s="335"/>
      <c r="L37" s="162">
        <f t="shared" si="1"/>
        <v>0</v>
      </c>
      <c r="M37" s="335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4"/>
        <v/>
      </c>
      <c r="C38" s="157">
        <f>IF(D11="","-",+C37+1)</f>
        <v>2028</v>
      </c>
      <c r="D38" s="163">
        <f>IF(F37+SUM(E$17:E37)=D$10,F37,D$10-SUM(E$17:E37))</f>
        <v>48458</v>
      </c>
      <c r="E38" s="164">
        <f>IF(+I14&lt;F37,I14,D38)</f>
        <v>2010</v>
      </c>
      <c r="F38" s="163">
        <f t="shared" si="12"/>
        <v>46448</v>
      </c>
      <c r="G38" s="165">
        <f t="shared" si="13"/>
        <v>7135.1506787080079</v>
      </c>
      <c r="H38" s="147">
        <f t="shared" si="14"/>
        <v>7135.1506787080079</v>
      </c>
      <c r="I38" s="160">
        <f t="shared" si="0"/>
        <v>0</v>
      </c>
      <c r="J38" s="160"/>
      <c r="K38" s="335"/>
      <c r="L38" s="162">
        <f t="shared" si="1"/>
        <v>0</v>
      </c>
      <c r="M38" s="335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4"/>
        <v/>
      </c>
      <c r="C39" s="157">
        <f>IF(D11="","-",+C38+1)</f>
        <v>2029</v>
      </c>
      <c r="D39" s="163">
        <f>IF(F38+SUM(E$17:E38)=D$10,F38,D$10-SUM(E$17:E38))</f>
        <v>46448</v>
      </c>
      <c r="E39" s="164">
        <f>IF(+I14&lt;F38,I14,D39)</f>
        <v>2010</v>
      </c>
      <c r="F39" s="163">
        <f t="shared" si="12"/>
        <v>44438</v>
      </c>
      <c r="G39" s="165">
        <f t="shared" si="13"/>
        <v>6918.0610771190022</v>
      </c>
      <c r="H39" s="147">
        <f t="shared" si="14"/>
        <v>6918.0610771190022</v>
      </c>
      <c r="I39" s="160">
        <f t="shared" si="0"/>
        <v>0</v>
      </c>
      <c r="J39" s="160"/>
      <c r="K39" s="335"/>
      <c r="L39" s="162">
        <f t="shared" si="1"/>
        <v>0</v>
      </c>
      <c r="M39" s="335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4"/>
        <v/>
      </c>
      <c r="C40" s="157">
        <f>IF(D11="","-",+C39+1)</f>
        <v>2030</v>
      </c>
      <c r="D40" s="163">
        <f>IF(F39+SUM(E$17:E39)=D$10,F39,D$10-SUM(E$17:E39))</f>
        <v>44438</v>
      </c>
      <c r="E40" s="164">
        <f>IF(+I14&lt;F39,I14,D40)</f>
        <v>2010</v>
      </c>
      <c r="F40" s="163">
        <f t="shared" si="12"/>
        <v>42428</v>
      </c>
      <c r="G40" s="165">
        <f t="shared" si="13"/>
        <v>6700.9714755299965</v>
      </c>
      <c r="H40" s="147">
        <f t="shared" si="14"/>
        <v>6700.9714755299965</v>
      </c>
      <c r="I40" s="160">
        <f t="shared" si="0"/>
        <v>0</v>
      </c>
      <c r="J40" s="160"/>
      <c r="K40" s="335"/>
      <c r="L40" s="162">
        <f t="shared" si="1"/>
        <v>0</v>
      </c>
      <c r="M40" s="335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4"/>
        <v/>
      </c>
      <c r="C41" s="157">
        <f>IF(D11="","-",+C40+1)</f>
        <v>2031</v>
      </c>
      <c r="D41" s="163">
        <f>IF(F40+SUM(E$17:E40)=D$10,F40,D$10-SUM(E$17:E40))</f>
        <v>42428</v>
      </c>
      <c r="E41" s="164">
        <f>IF(+I14&lt;F40,I14,D41)</f>
        <v>2010</v>
      </c>
      <c r="F41" s="163">
        <f t="shared" si="12"/>
        <v>40418</v>
      </c>
      <c r="G41" s="165">
        <f t="shared" si="13"/>
        <v>6483.8818739409908</v>
      </c>
      <c r="H41" s="147">
        <f t="shared" si="14"/>
        <v>6483.8818739409908</v>
      </c>
      <c r="I41" s="160">
        <f t="shared" si="0"/>
        <v>0</v>
      </c>
      <c r="J41" s="160"/>
      <c r="K41" s="335"/>
      <c r="L41" s="162">
        <f t="shared" si="1"/>
        <v>0</v>
      </c>
      <c r="M41" s="335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4"/>
        <v/>
      </c>
      <c r="C42" s="157">
        <f>IF(D11="","-",+C41+1)</f>
        <v>2032</v>
      </c>
      <c r="D42" s="163">
        <f>IF(F41+SUM(E$17:E41)=D$10,F41,D$10-SUM(E$17:E41))</f>
        <v>40418</v>
      </c>
      <c r="E42" s="164">
        <f>IF(+I14&lt;F41,I14,D42)</f>
        <v>2010</v>
      </c>
      <c r="F42" s="163">
        <f t="shared" si="12"/>
        <v>38408</v>
      </c>
      <c r="G42" s="165">
        <f t="shared" si="13"/>
        <v>6266.792272351985</v>
      </c>
      <c r="H42" s="147">
        <f t="shared" si="14"/>
        <v>6266.792272351985</v>
      </c>
      <c r="I42" s="160">
        <f t="shared" si="0"/>
        <v>0</v>
      </c>
      <c r="J42" s="160"/>
      <c r="K42" s="335"/>
      <c r="L42" s="162">
        <f t="shared" si="1"/>
        <v>0</v>
      </c>
      <c r="M42" s="335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4"/>
        <v/>
      </c>
      <c r="C43" s="157">
        <f>IF(D11="","-",+C42+1)</f>
        <v>2033</v>
      </c>
      <c r="D43" s="163">
        <f>IF(F42+SUM(E$17:E42)=D$10,F42,D$10-SUM(E$17:E42))</f>
        <v>38408</v>
      </c>
      <c r="E43" s="164">
        <f>IF(+I14&lt;F42,I14,D43)</f>
        <v>2010</v>
      </c>
      <c r="F43" s="163">
        <f t="shared" si="12"/>
        <v>36398</v>
      </c>
      <c r="G43" s="165">
        <f t="shared" si="13"/>
        <v>6049.7026707629793</v>
      </c>
      <c r="H43" s="147">
        <f t="shared" si="14"/>
        <v>6049.7026707629793</v>
      </c>
      <c r="I43" s="160">
        <f t="shared" si="0"/>
        <v>0</v>
      </c>
      <c r="J43" s="160"/>
      <c r="K43" s="335"/>
      <c r="L43" s="162">
        <f t="shared" si="1"/>
        <v>0</v>
      </c>
      <c r="M43" s="335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4"/>
        <v/>
      </c>
      <c r="C44" s="157">
        <f>IF(D11="","-",+C43+1)</f>
        <v>2034</v>
      </c>
      <c r="D44" s="163">
        <f>IF(F43+SUM(E$17:E43)=D$10,F43,D$10-SUM(E$17:E43))</f>
        <v>36398</v>
      </c>
      <c r="E44" s="164">
        <f>IF(+I14&lt;F43,I14,D44)</f>
        <v>2010</v>
      </c>
      <c r="F44" s="163">
        <f t="shared" si="12"/>
        <v>34388</v>
      </c>
      <c r="G44" s="165">
        <f t="shared" si="13"/>
        <v>5832.6130691739727</v>
      </c>
      <c r="H44" s="147">
        <f t="shared" si="14"/>
        <v>5832.6130691739727</v>
      </c>
      <c r="I44" s="160">
        <f t="shared" si="0"/>
        <v>0</v>
      </c>
      <c r="J44" s="160"/>
      <c r="K44" s="335"/>
      <c r="L44" s="162">
        <f t="shared" si="1"/>
        <v>0</v>
      </c>
      <c r="M44" s="335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4"/>
        <v/>
      </c>
      <c r="C45" s="157">
        <f>IF(D11="","-",+C44+1)</f>
        <v>2035</v>
      </c>
      <c r="D45" s="163">
        <f>IF(F44+SUM(E$17:E44)=D$10,F44,D$10-SUM(E$17:E44))</f>
        <v>34388</v>
      </c>
      <c r="E45" s="164">
        <f>IF(+I14&lt;F44,I14,D45)</f>
        <v>2010</v>
      </c>
      <c r="F45" s="163">
        <f t="shared" si="12"/>
        <v>32378</v>
      </c>
      <c r="G45" s="165">
        <f t="shared" si="13"/>
        <v>5615.523467584967</v>
      </c>
      <c r="H45" s="147">
        <f t="shared" si="14"/>
        <v>5615.523467584967</v>
      </c>
      <c r="I45" s="160">
        <f t="shared" si="0"/>
        <v>0</v>
      </c>
      <c r="J45" s="160"/>
      <c r="K45" s="335"/>
      <c r="L45" s="162">
        <f t="shared" si="1"/>
        <v>0</v>
      </c>
      <c r="M45" s="335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4"/>
        <v/>
      </c>
      <c r="C46" s="157">
        <f>IF(D11="","-",+C45+1)</f>
        <v>2036</v>
      </c>
      <c r="D46" s="163">
        <f>IF(F45+SUM(E$17:E45)=D$10,F45,D$10-SUM(E$17:E45))</f>
        <v>32378</v>
      </c>
      <c r="E46" s="164">
        <f>IF(+I14&lt;F45,I14,D46)</f>
        <v>2010</v>
      </c>
      <c r="F46" s="163">
        <f t="shared" si="12"/>
        <v>30368</v>
      </c>
      <c r="G46" s="165">
        <f t="shared" si="13"/>
        <v>5398.4338659959612</v>
      </c>
      <c r="H46" s="147">
        <f t="shared" si="14"/>
        <v>5398.4338659959612</v>
      </c>
      <c r="I46" s="160">
        <f t="shared" si="0"/>
        <v>0</v>
      </c>
      <c r="J46" s="160"/>
      <c r="K46" s="335"/>
      <c r="L46" s="162">
        <f t="shared" si="1"/>
        <v>0</v>
      </c>
      <c r="M46" s="335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4"/>
        <v/>
      </c>
      <c r="C47" s="157">
        <f>IF(D11="","-",+C46+1)</f>
        <v>2037</v>
      </c>
      <c r="D47" s="163">
        <f>IF(F46+SUM(E$17:E46)=D$10,F46,D$10-SUM(E$17:E46))</f>
        <v>30368</v>
      </c>
      <c r="E47" s="164">
        <f>IF(+I14&lt;F46,I14,D47)</f>
        <v>2010</v>
      </c>
      <c r="F47" s="163">
        <f t="shared" si="12"/>
        <v>28358</v>
      </c>
      <c r="G47" s="165">
        <f t="shared" si="13"/>
        <v>5181.3442644069546</v>
      </c>
      <c r="H47" s="147">
        <f t="shared" si="14"/>
        <v>5181.3442644069546</v>
      </c>
      <c r="I47" s="160">
        <f t="shared" si="0"/>
        <v>0</v>
      </c>
      <c r="J47" s="160"/>
      <c r="K47" s="335"/>
      <c r="L47" s="162">
        <f t="shared" si="1"/>
        <v>0</v>
      </c>
      <c r="M47" s="335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4"/>
        <v/>
      </c>
      <c r="C48" s="157">
        <f>IF(D11="","-",+C47+1)</f>
        <v>2038</v>
      </c>
      <c r="D48" s="163">
        <f>IF(F47+SUM(E$17:E47)=D$10,F47,D$10-SUM(E$17:E47))</f>
        <v>28358</v>
      </c>
      <c r="E48" s="164">
        <f>IF(+I14&lt;F47,I14,D48)</f>
        <v>2010</v>
      </c>
      <c r="F48" s="163">
        <f t="shared" si="12"/>
        <v>26348</v>
      </c>
      <c r="G48" s="165">
        <f t="shared" si="13"/>
        <v>4964.2546628179498</v>
      </c>
      <c r="H48" s="147">
        <f t="shared" si="14"/>
        <v>4964.2546628179498</v>
      </c>
      <c r="I48" s="160">
        <f t="shared" si="0"/>
        <v>0</v>
      </c>
      <c r="J48" s="160"/>
      <c r="K48" s="335"/>
      <c r="L48" s="162">
        <f t="shared" si="1"/>
        <v>0</v>
      </c>
      <c r="M48" s="335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4"/>
        <v/>
      </c>
      <c r="C49" s="157">
        <f>IF(D11="","-",+C48+1)</f>
        <v>2039</v>
      </c>
      <c r="D49" s="163">
        <f>IF(F48+SUM(E$17:E48)=D$10,F48,D$10-SUM(E$17:E48))</f>
        <v>26348</v>
      </c>
      <c r="E49" s="164">
        <f>IF(+I14&lt;F48,I14,D49)</f>
        <v>2010</v>
      </c>
      <c r="F49" s="163">
        <f t="shared" ref="F49:F72" si="15">+D49-E49</f>
        <v>24338</v>
      </c>
      <c r="G49" s="165">
        <f t="shared" si="13"/>
        <v>4747.1650612289432</v>
      </c>
      <c r="H49" s="147">
        <f t="shared" si="14"/>
        <v>4747.1650612289432</v>
      </c>
      <c r="I49" s="160">
        <f t="shared" ref="I49:I72" si="16">H49-G49</f>
        <v>0</v>
      </c>
      <c r="J49" s="160"/>
      <c r="K49" s="335"/>
      <c r="L49" s="162">
        <f t="shared" ref="L49:L72" si="17">IF(K49&lt;&gt;0,+G49-K49,0)</f>
        <v>0</v>
      </c>
      <c r="M49" s="335"/>
      <c r="N49" s="162">
        <f t="shared" ref="N49:N72" si="18">IF(M49&lt;&gt;0,+H49-M49,0)</f>
        <v>0</v>
      </c>
      <c r="O49" s="162">
        <f t="shared" ref="O49:O72" si="19">+N49-L49</f>
        <v>0</v>
      </c>
      <c r="P49" s="4"/>
    </row>
    <row r="50" spans="2:16">
      <c r="B50" s="9" t="str">
        <f t="shared" si="4"/>
        <v/>
      </c>
      <c r="C50" s="157">
        <f>IF(D11="","-",+C49+1)</f>
        <v>2040</v>
      </c>
      <c r="D50" s="163">
        <f>IF(F49+SUM(E$17:E49)=D$10,F49,D$10-SUM(E$17:E49))</f>
        <v>24338</v>
      </c>
      <c r="E50" s="164">
        <f>IF(+I14&lt;F49,I14,D50)</f>
        <v>2010</v>
      </c>
      <c r="F50" s="163">
        <f t="shared" si="15"/>
        <v>22328</v>
      </c>
      <c r="G50" s="165">
        <f t="shared" si="13"/>
        <v>4530.0754596399374</v>
      </c>
      <c r="H50" s="147">
        <f t="shared" si="14"/>
        <v>4530.0754596399374</v>
      </c>
      <c r="I50" s="160">
        <f t="shared" si="16"/>
        <v>0</v>
      </c>
      <c r="J50" s="160"/>
      <c r="K50" s="335"/>
      <c r="L50" s="162">
        <f t="shared" si="17"/>
        <v>0</v>
      </c>
      <c r="M50" s="335"/>
      <c r="N50" s="162">
        <f t="shared" si="18"/>
        <v>0</v>
      </c>
      <c r="O50" s="162">
        <f t="shared" si="19"/>
        <v>0</v>
      </c>
      <c r="P50" s="4"/>
    </row>
    <row r="51" spans="2:16">
      <c r="B51" s="9" t="str">
        <f t="shared" si="4"/>
        <v/>
      </c>
      <c r="C51" s="157">
        <f>IF(D11="","-",+C50+1)</f>
        <v>2041</v>
      </c>
      <c r="D51" s="163">
        <f>IF(F50+SUM(E$17:E50)=D$10,F50,D$10-SUM(E$17:E50))</f>
        <v>22328</v>
      </c>
      <c r="E51" s="164">
        <f>IF(+I14&lt;F50,I14,D51)</f>
        <v>2010</v>
      </c>
      <c r="F51" s="163">
        <f t="shared" si="15"/>
        <v>20318</v>
      </c>
      <c r="G51" s="165">
        <f t="shared" si="13"/>
        <v>4312.9858580509317</v>
      </c>
      <c r="H51" s="147">
        <f t="shared" si="14"/>
        <v>4312.9858580509317</v>
      </c>
      <c r="I51" s="160">
        <f t="shared" si="16"/>
        <v>0</v>
      </c>
      <c r="J51" s="160"/>
      <c r="K51" s="335"/>
      <c r="L51" s="162">
        <f t="shared" si="17"/>
        <v>0</v>
      </c>
      <c r="M51" s="335"/>
      <c r="N51" s="162">
        <f t="shared" si="18"/>
        <v>0</v>
      </c>
      <c r="O51" s="162">
        <f t="shared" si="19"/>
        <v>0</v>
      </c>
      <c r="P51" s="4"/>
    </row>
    <row r="52" spans="2:16">
      <c r="B52" s="9" t="str">
        <f t="shared" si="4"/>
        <v/>
      </c>
      <c r="C52" s="157">
        <f>IF(D11="","-",+C51+1)</f>
        <v>2042</v>
      </c>
      <c r="D52" s="163">
        <f>IF(F51+SUM(E$17:E51)=D$10,F51,D$10-SUM(E$17:E51))</f>
        <v>20318</v>
      </c>
      <c r="E52" s="164">
        <f>IF(+I14&lt;F51,I14,D52)</f>
        <v>2010</v>
      </c>
      <c r="F52" s="163">
        <f t="shared" si="15"/>
        <v>18308</v>
      </c>
      <c r="G52" s="165">
        <f t="shared" si="13"/>
        <v>4095.8962564619255</v>
      </c>
      <c r="H52" s="147">
        <f t="shared" si="14"/>
        <v>4095.8962564619255</v>
      </c>
      <c r="I52" s="160">
        <f t="shared" si="16"/>
        <v>0</v>
      </c>
      <c r="J52" s="160"/>
      <c r="K52" s="335"/>
      <c r="L52" s="162">
        <f t="shared" si="17"/>
        <v>0</v>
      </c>
      <c r="M52" s="335"/>
      <c r="N52" s="162">
        <f t="shared" si="18"/>
        <v>0</v>
      </c>
      <c r="O52" s="162">
        <f t="shared" si="19"/>
        <v>0</v>
      </c>
      <c r="P52" s="4"/>
    </row>
    <row r="53" spans="2:16">
      <c r="B53" s="9" t="str">
        <f t="shared" si="4"/>
        <v/>
      </c>
      <c r="C53" s="157">
        <f>IF(D11="","-",+C52+1)</f>
        <v>2043</v>
      </c>
      <c r="D53" s="163">
        <f>IF(F52+SUM(E$17:E52)=D$10,F52,D$10-SUM(E$17:E52))</f>
        <v>18308</v>
      </c>
      <c r="E53" s="164">
        <f>IF(+I14&lt;F52,I14,D53)</f>
        <v>2010</v>
      </c>
      <c r="F53" s="163">
        <f t="shared" si="15"/>
        <v>16298</v>
      </c>
      <c r="G53" s="165">
        <f t="shared" si="13"/>
        <v>3878.8066548729198</v>
      </c>
      <c r="H53" s="147">
        <f t="shared" si="14"/>
        <v>3878.8066548729198</v>
      </c>
      <c r="I53" s="160">
        <f t="shared" si="16"/>
        <v>0</v>
      </c>
      <c r="J53" s="160"/>
      <c r="K53" s="335"/>
      <c r="L53" s="162">
        <f t="shared" si="17"/>
        <v>0</v>
      </c>
      <c r="M53" s="335"/>
      <c r="N53" s="162">
        <f t="shared" si="18"/>
        <v>0</v>
      </c>
      <c r="O53" s="162">
        <f t="shared" si="19"/>
        <v>0</v>
      </c>
      <c r="P53" s="4"/>
    </row>
    <row r="54" spans="2:16">
      <c r="B54" s="9" t="str">
        <f t="shared" si="4"/>
        <v/>
      </c>
      <c r="C54" s="157">
        <f>IF(D11="","-",+C53+1)</f>
        <v>2044</v>
      </c>
      <c r="D54" s="163">
        <f>IF(F53+SUM(E$17:E53)=D$10,F53,D$10-SUM(E$17:E53))</f>
        <v>16298</v>
      </c>
      <c r="E54" s="164">
        <f>IF(+I14&lt;F53,I14,D54)</f>
        <v>2010</v>
      </c>
      <c r="F54" s="163">
        <f t="shared" si="15"/>
        <v>14288</v>
      </c>
      <c r="G54" s="165">
        <f t="shared" si="13"/>
        <v>3661.7170532839136</v>
      </c>
      <c r="H54" s="147">
        <f t="shared" si="14"/>
        <v>3661.7170532839136</v>
      </c>
      <c r="I54" s="160">
        <f t="shared" si="16"/>
        <v>0</v>
      </c>
      <c r="J54" s="160"/>
      <c r="K54" s="335"/>
      <c r="L54" s="162">
        <f t="shared" si="17"/>
        <v>0</v>
      </c>
      <c r="M54" s="335"/>
      <c r="N54" s="162">
        <f t="shared" si="18"/>
        <v>0</v>
      </c>
      <c r="O54" s="162">
        <f t="shared" si="19"/>
        <v>0</v>
      </c>
      <c r="P54" s="4"/>
    </row>
    <row r="55" spans="2:16">
      <c r="B55" s="9" t="str">
        <f t="shared" si="4"/>
        <v/>
      </c>
      <c r="C55" s="157">
        <f>IF(D11="","-",+C54+1)</f>
        <v>2045</v>
      </c>
      <c r="D55" s="163">
        <f>IF(F54+SUM(E$17:E54)=D$10,F54,D$10-SUM(E$17:E54))</f>
        <v>14288</v>
      </c>
      <c r="E55" s="164">
        <f>IF(+I14&lt;F54,I14,D55)</f>
        <v>2010</v>
      </c>
      <c r="F55" s="163">
        <f t="shared" si="15"/>
        <v>12278</v>
      </c>
      <c r="G55" s="165">
        <f t="shared" si="13"/>
        <v>3444.6274516949079</v>
      </c>
      <c r="H55" s="147">
        <f t="shared" si="14"/>
        <v>3444.6274516949079</v>
      </c>
      <c r="I55" s="160">
        <f t="shared" si="16"/>
        <v>0</v>
      </c>
      <c r="J55" s="160"/>
      <c r="K55" s="335"/>
      <c r="L55" s="162">
        <f t="shared" si="17"/>
        <v>0</v>
      </c>
      <c r="M55" s="335"/>
      <c r="N55" s="162">
        <f t="shared" si="18"/>
        <v>0</v>
      </c>
      <c r="O55" s="162">
        <f t="shared" si="19"/>
        <v>0</v>
      </c>
      <c r="P55" s="4"/>
    </row>
    <row r="56" spans="2:16">
      <c r="B56" s="9" t="str">
        <f t="shared" si="4"/>
        <v/>
      </c>
      <c r="C56" s="157">
        <f>IF(D11="","-",+C55+1)</f>
        <v>2046</v>
      </c>
      <c r="D56" s="163">
        <f>IF(F55+SUM(E$17:E55)=D$10,F55,D$10-SUM(E$17:E55))</f>
        <v>12278</v>
      </c>
      <c r="E56" s="164">
        <f>IF(+I14&lt;F55,I14,D56)</f>
        <v>2010</v>
      </c>
      <c r="F56" s="163">
        <f t="shared" si="15"/>
        <v>10268</v>
      </c>
      <c r="G56" s="165">
        <f t="shared" si="13"/>
        <v>3227.5378501059022</v>
      </c>
      <c r="H56" s="147">
        <f t="shared" si="14"/>
        <v>3227.5378501059022</v>
      </c>
      <c r="I56" s="160">
        <f t="shared" si="16"/>
        <v>0</v>
      </c>
      <c r="J56" s="160"/>
      <c r="K56" s="335"/>
      <c r="L56" s="162">
        <f t="shared" si="17"/>
        <v>0</v>
      </c>
      <c r="M56" s="335"/>
      <c r="N56" s="162">
        <f t="shared" si="18"/>
        <v>0</v>
      </c>
      <c r="O56" s="162">
        <f t="shared" si="19"/>
        <v>0</v>
      </c>
      <c r="P56" s="4"/>
    </row>
    <row r="57" spans="2:16">
      <c r="B57" s="9" t="str">
        <f t="shared" si="4"/>
        <v/>
      </c>
      <c r="C57" s="157">
        <f>IF(D11="","-",+C56+1)</f>
        <v>2047</v>
      </c>
      <c r="D57" s="163">
        <f>IF(F56+SUM(E$17:E56)=D$10,F56,D$10-SUM(E$17:E56))</f>
        <v>10268</v>
      </c>
      <c r="E57" s="164">
        <f>IF(+I14&lt;F56,I14,D57)</f>
        <v>2010</v>
      </c>
      <c r="F57" s="163">
        <f t="shared" si="15"/>
        <v>8258</v>
      </c>
      <c r="G57" s="165">
        <f t="shared" si="13"/>
        <v>3010.4482485168965</v>
      </c>
      <c r="H57" s="147">
        <f t="shared" si="14"/>
        <v>3010.4482485168965</v>
      </c>
      <c r="I57" s="160">
        <f t="shared" si="16"/>
        <v>0</v>
      </c>
      <c r="J57" s="160"/>
      <c r="K57" s="335"/>
      <c r="L57" s="162">
        <f t="shared" si="17"/>
        <v>0</v>
      </c>
      <c r="M57" s="335"/>
      <c r="N57" s="162">
        <f t="shared" si="18"/>
        <v>0</v>
      </c>
      <c r="O57" s="162">
        <f t="shared" si="19"/>
        <v>0</v>
      </c>
      <c r="P57" s="4"/>
    </row>
    <row r="58" spans="2:16">
      <c r="B58" s="9" t="str">
        <f t="shared" si="4"/>
        <v/>
      </c>
      <c r="C58" s="157">
        <f>IF(D11="","-",+C57+1)</f>
        <v>2048</v>
      </c>
      <c r="D58" s="163">
        <f>IF(F57+SUM(E$17:E57)=D$10,F57,D$10-SUM(E$17:E57))</f>
        <v>8258</v>
      </c>
      <c r="E58" s="164">
        <f>IF(+I14&lt;F57,I14,D58)</f>
        <v>2010</v>
      </c>
      <c r="F58" s="163">
        <f t="shared" si="15"/>
        <v>6248</v>
      </c>
      <c r="G58" s="165">
        <f t="shared" si="13"/>
        <v>2793.3586469278903</v>
      </c>
      <c r="H58" s="147">
        <f t="shared" si="14"/>
        <v>2793.3586469278903</v>
      </c>
      <c r="I58" s="160">
        <f t="shared" si="16"/>
        <v>0</v>
      </c>
      <c r="J58" s="160"/>
      <c r="K58" s="335"/>
      <c r="L58" s="162">
        <f t="shared" si="17"/>
        <v>0</v>
      </c>
      <c r="M58" s="335"/>
      <c r="N58" s="162">
        <f t="shared" si="18"/>
        <v>0</v>
      </c>
      <c r="O58" s="162">
        <f t="shared" si="19"/>
        <v>0</v>
      </c>
      <c r="P58" s="4"/>
    </row>
    <row r="59" spans="2:16">
      <c r="B59" s="9" t="str">
        <f t="shared" si="4"/>
        <v/>
      </c>
      <c r="C59" s="157">
        <f>IF(D11="","-",+C58+1)</f>
        <v>2049</v>
      </c>
      <c r="D59" s="163">
        <f>IF(F58+SUM(E$17:E58)=D$10,F58,D$10-SUM(E$17:E58))</f>
        <v>6248</v>
      </c>
      <c r="E59" s="164">
        <f>IF(+I14&lt;F58,I14,D59)</f>
        <v>2010</v>
      </c>
      <c r="F59" s="163">
        <f t="shared" si="15"/>
        <v>4238</v>
      </c>
      <c r="G59" s="165">
        <f t="shared" si="13"/>
        <v>2576.2690453388846</v>
      </c>
      <c r="H59" s="147">
        <f t="shared" si="14"/>
        <v>2576.2690453388846</v>
      </c>
      <c r="I59" s="160">
        <f t="shared" si="16"/>
        <v>0</v>
      </c>
      <c r="J59" s="160"/>
      <c r="K59" s="335"/>
      <c r="L59" s="162">
        <f t="shared" si="17"/>
        <v>0</v>
      </c>
      <c r="M59" s="335"/>
      <c r="N59" s="162">
        <f t="shared" si="18"/>
        <v>0</v>
      </c>
      <c r="O59" s="162">
        <f t="shared" si="19"/>
        <v>0</v>
      </c>
      <c r="P59" s="4"/>
    </row>
    <row r="60" spans="2:16">
      <c r="B60" s="9" t="str">
        <f t="shared" si="4"/>
        <v/>
      </c>
      <c r="C60" s="157">
        <f>IF(D11="","-",+C59+1)</f>
        <v>2050</v>
      </c>
      <c r="D60" s="163">
        <f>IF(F59+SUM(E$17:E59)=D$10,F59,D$10-SUM(E$17:E59))</f>
        <v>4238</v>
      </c>
      <c r="E60" s="164">
        <f>IF(+I14&lt;F59,I14,D60)</f>
        <v>2010</v>
      </c>
      <c r="F60" s="163">
        <f t="shared" si="15"/>
        <v>2228</v>
      </c>
      <c r="G60" s="165">
        <f t="shared" si="13"/>
        <v>2359.1794437498784</v>
      </c>
      <c r="H60" s="147">
        <f t="shared" si="14"/>
        <v>2359.1794437498784</v>
      </c>
      <c r="I60" s="160">
        <f t="shared" si="16"/>
        <v>0</v>
      </c>
      <c r="J60" s="160"/>
      <c r="K60" s="335"/>
      <c r="L60" s="162">
        <f t="shared" si="17"/>
        <v>0</v>
      </c>
      <c r="M60" s="335"/>
      <c r="N60" s="162">
        <f t="shared" si="18"/>
        <v>0</v>
      </c>
      <c r="O60" s="162">
        <f t="shared" si="19"/>
        <v>0</v>
      </c>
      <c r="P60" s="4"/>
    </row>
    <row r="61" spans="2:16">
      <c r="B61" s="9" t="str">
        <f t="shared" si="4"/>
        <v/>
      </c>
      <c r="C61" s="157">
        <f>IF(D11="","-",+C60+1)</f>
        <v>2051</v>
      </c>
      <c r="D61" s="163">
        <f>IF(F60+SUM(E$17:E60)=D$10,F60,D$10-SUM(E$17:E60))</f>
        <v>2228</v>
      </c>
      <c r="E61" s="164">
        <f>IF(+I14&lt;F60,I14,D61)</f>
        <v>2010</v>
      </c>
      <c r="F61" s="163">
        <f t="shared" si="15"/>
        <v>218</v>
      </c>
      <c r="G61" s="165">
        <f t="shared" si="13"/>
        <v>2142.0898421608726</v>
      </c>
      <c r="H61" s="147">
        <f t="shared" si="14"/>
        <v>2142.0898421608726</v>
      </c>
      <c r="I61" s="160">
        <f t="shared" si="16"/>
        <v>0</v>
      </c>
      <c r="J61" s="160"/>
      <c r="K61" s="335"/>
      <c r="L61" s="162">
        <f t="shared" si="17"/>
        <v>0</v>
      </c>
      <c r="M61" s="335"/>
      <c r="N61" s="162">
        <f t="shared" si="18"/>
        <v>0</v>
      </c>
      <c r="O61" s="162">
        <f t="shared" si="19"/>
        <v>0</v>
      </c>
      <c r="P61" s="4"/>
    </row>
    <row r="62" spans="2:16">
      <c r="B62" s="9" t="str">
        <f t="shared" si="4"/>
        <v/>
      </c>
      <c r="C62" s="157">
        <f>IF(D11="","-",+C61+1)</f>
        <v>2052</v>
      </c>
      <c r="D62" s="163">
        <f>IF(F61+SUM(E$17:E61)=D$10,F61,D$10-SUM(E$17:E61))</f>
        <v>218</v>
      </c>
      <c r="E62" s="164">
        <f>IF(+I14&lt;F61,I14,D62)</f>
        <v>218</v>
      </c>
      <c r="F62" s="163">
        <f t="shared" si="15"/>
        <v>0</v>
      </c>
      <c r="G62" s="165">
        <f t="shared" si="13"/>
        <v>229.77252068318489</v>
      </c>
      <c r="H62" s="147">
        <f t="shared" si="14"/>
        <v>229.77252068318489</v>
      </c>
      <c r="I62" s="160">
        <f t="shared" si="16"/>
        <v>0</v>
      </c>
      <c r="J62" s="160"/>
      <c r="K62" s="335"/>
      <c r="L62" s="162">
        <f t="shared" si="17"/>
        <v>0</v>
      </c>
      <c r="M62" s="335"/>
      <c r="N62" s="162">
        <f t="shared" si="18"/>
        <v>0</v>
      </c>
      <c r="O62" s="162">
        <f t="shared" si="19"/>
        <v>0</v>
      </c>
      <c r="P62" s="4"/>
    </row>
    <row r="63" spans="2:16">
      <c r="B63" s="9" t="str">
        <f t="shared" si="4"/>
        <v/>
      </c>
      <c r="C63" s="157">
        <f>IF(D11="","-",+C62+1)</f>
        <v>2053</v>
      </c>
      <c r="D63" s="163">
        <f>IF(F62+SUM(E$17:E62)=D$10,F62,D$10-SUM(E$17:E62))</f>
        <v>0</v>
      </c>
      <c r="E63" s="164">
        <f>IF(+I14&lt;F62,I14,D63)</f>
        <v>0</v>
      </c>
      <c r="F63" s="163">
        <f t="shared" si="15"/>
        <v>0</v>
      </c>
      <c r="G63" s="165">
        <f t="shared" si="13"/>
        <v>0</v>
      </c>
      <c r="H63" s="147">
        <f t="shared" si="14"/>
        <v>0</v>
      </c>
      <c r="I63" s="160">
        <f t="shared" si="16"/>
        <v>0</v>
      </c>
      <c r="J63" s="160"/>
      <c r="K63" s="335"/>
      <c r="L63" s="162">
        <f t="shared" si="17"/>
        <v>0</v>
      </c>
      <c r="M63" s="335"/>
      <c r="N63" s="162">
        <f t="shared" si="18"/>
        <v>0</v>
      </c>
      <c r="O63" s="162">
        <f t="shared" si="19"/>
        <v>0</v>
      </c>
      <c r="P63" s="4"/>
    </row>
    <row r="64" spans="2:16">
      <c r="B64" s="9" t="str">
        <f t="shared" si="4"/>
        <v/>
      </c>
      <c r="C64" s="157">
        <f>IF(D11="","-",+C63+1)</f>
        <v>2054</v>
      </c>
      <c r="D64" s="163">
        <f>IF(F63+SUM(E$17:E63)=D$10,F63,D$10-SUM(E$17:E63))</f>
        <v>0</v>
      </c>
      <c r="E64" s="164">
        <f>IF(+I14&lt;F63,I14,D64)</f>
        <v>0</v>
      </c>
      <c r="F64" s="163">
        <f t="shared" si="15"/>
        <v>0</v>
      </c>
      <c r="G64" s="165">
        <f t="shared" si="13"/>
        <v>0</v>
      </c>
      <c r="H64" s="147">
        <f t="shared" si="14"/>
        <v>0</v>
      </c>
      <c r="I64" s="160">
        <f t="shared" si="16"/>
        <v>0</v>
      </c>
      <c r="J64" s="160"/>
      <c r="K64" s="335"/>
      <c r="L64" s="162">
        <f t="shared" si="17"/>
        <v>0</v>
      </c>
      <c r="M64" s="335"/>
      <c r="N64" s="162">
        <f t="shared" si="18"/>
        <v>0</v>
      </c>
      <c r="O64" s="162">
        <f t="shared" si="19"/>
        <v>0</v>
      </c>
      <c r="P64" s="4"/>
    </row>
    <row r="65" spans="2:16">
      <c r="B65" s="9" t="str">
        <f t="shared" si="4"/>
        <v/>
      </c>
      <c r="C65" s="157">
        <f>IF(D11="","-",+C64+1)</f>
        <v>2055</v>
      </c>
      <c r="D65" s="163">
        <f>IF(F64+SUM(E$17:E64)=D$10,F64,D$10-SUM(E$17:E64))</f>
        <v>0</v>
      </c>
      <c r="E65" s="164">
        <f>IF(+I14&lt;F64,I14,D65)</f>
        <v>0</v>
      </c>
      <c r="F65" s="163">
        <f t="shared" si="15"/>
        <v>0</v>
      </c>
      <c r="G65" s="165">
        <f t="shared" si="13"/>
        <v>0</v>
      </c>
      <c r="H65" s="147">
        <f t="shared" si="14"/>
        <v>0</v>
      </c>
      <c r="I65" s="160">
        <f t="shared" si="16"/>
        <v>0</v>
      </c>
      <c r="J65" s="160"/>
      <c r="K65" s="335"/>
      <c r="L65" s="162">
        <f t="shared" si="17"/>
        <v>0</v>
      </c>
      <c r="M65" s="335"/>
      <c r="N65" s="162">
        <f t="shared" si="18"/>
        <v>0</v>
      </c>
      <c r="O65" s="162">
        <f t="shared" si="19"/>
        <v>0</v>
      </c>
      <c r="P65" s="4"/>
    </row>
    <row r="66" spans="2:16">
      <c r="B66" s="9" t="str">
        <f t="shared" si="4"/>
        <v/>
      </c>
      <c r="C66" s="157">
        <f>IF(D11="","-",+C65+1)</f>
        <v>2056</v>
      </c>
      <c r="D66" s="163">
        <f>IF(F65+SUM(E$17:E65)=D$10,F65,D$10-SUM(E$17:E65))</f>
        <v>0</v>
      </c>
      <c r="E66" s="164">
        <f>IF(+I14&lt;F65,I14,D66)</f>
        <v>0</v>
      </c>
      <c r="F66" s="163">
        <f t="shared" si="15"/>
        <v>0</v>
      </c>
      <c r="G66" s="165">
        <f t="shared" si="13"/>
        <v>0</v>
      </c>
      <c r="H66" s="147">
        <f t="shared" si="14"/>
        <v>0</v>
      </c>
      <c r="I66" s="160">
        <f t="shared" si="16"/>
        <v>0</v>
      </c>
      <c r="J66" s="160"/>
      <c r="K66" s="335"/>
      <c r="L66" s="162">
        <f t="shared" si="17"/>
        <v>0</v>
      </c>
      <c r="M66" s="335"/>
      <c r="N66" s="162">
        <f t="shared" si="18"/>
        <v>0</v>
      </c>
      <c r="O66" s="162">
        <f t="shared" si="19"/>
        <v>0</v>
      </c>
      <c r="P66" s="4"/>
    </row>
    <row r="67" spans="2:16">
      <c r="B67" s="9" t="str">
        <f t="shared" si="4"/>
        <v/>
      </c>
      <c r="C67" s="157">
        <f>IF(D11="","-",+C66+1)</f>
        <v>2057</v>
      </c>
      <c r="D67" s="163">
        <f>IF(F66+SUM(E$17:E66)=D$10,F66,D$10-SUM(E$17:E66))</f>
        <v>0</v>
      </c>
      <c r="E67" s="164">
        <f>IF(+I14&lt;F66,I14,D67)</f>
        <v>0</v>
      </c>
      <c r="F67" s="163">
        <f t="shared" si="15"/>
        <v>0</v>
      </c>
      <c r="G67" s="165">
        <f t="shared" si="13"/>
        <v>0</v>
      </c>
      <c r="H67" s="147">
        <f t="shared" si="14"/>
        <v>0</v>
      </c>
      <c r="I67" s="160">
        <f t="shared" si="16"/>
        <v>0</v>
      </c>
      <c r="J67" s="160"/>
      <c r="K67" s="335"/>
      <c r="L67" s="162">
        <f t="shared" si="17"/>
        <v>0</v>
      </c>
      <c r="M67" s="335"/>
      <c r="N67" s="162">
        <f t="shared" si="18"/>
        <v>0</v>
      </c>
      <c r="O67" s="162">
        <f t="shared" si="19"/>
        <v>0</v>
      </c>
      <c r="P67" s="4"/>
    </row>
    <row r="68" spans="2:16">
      <c r="B68" s="9" t="str">
        <f t="shared" si="4"/>
        <v/>
      </c>
      <c r="C68" s="157">
        <f>IF(D11="","-",+C67+1)</f>
        <v>2058</v>
      </c>
      <c r="D68" s="163">
        <f>IF(F67+SUM(E$17:E67)=D$10,F67,D$10-SUM(E$17:E67))</f>
        <v>0</v>
      </c>
      <c r="E68" s="164">
        <f>IF(+I14&lt;F67,I14,D68)</f>
        <v>0</v>
      </c>
      <c r="F68" s="163">
        <f t="shared" si="15"/>
        <v>0</v>
      </c>
      <c r="G68" s="165">
        <f t="shared" si="13"/>
        <v>0</v>
      </c>
      <c r="H68" s="147">
        <f t="shared" si="14"/>
        <v>0</v>
      </c>
      <c r="I68" s="160">
        <f t="shared" si="16"/>
        <v>0</v>
      </c>
      <c r="J68" s="160"/>
      <c r="K68" s="335"/>
      <c r="L68" s="162">
        <f t="shared" si="17"/>
        <v>0</v>
      </c>
      <c r="M68" s="335"/>
      <c r="N68" s="162">
        <f t="shared" si="18"/>
        <v>0</v>
      </c>
      <c r="O68" s="162">
        <f t="shared" si="19"/>
        <v>0</v>
      </c>
      <c r="P68" s="4"/>
    </row>
    <row r="69" spans="2:16">
      <c r="B69" s="9" t="str">
        <f t="shared" si="4"/>
        <v/>
      </c>
      <c r="C69" s="157">
        <f>IF(D11="","-",+C68+1)</f>
        <v>2059</v>
      </c>
      <c r="D69" s="163">
        <f>IF(F68+SUM(E$17:E68)=D$10,F68,D$10-SUM(E$17:E68))</f>
        <v>0</v>
      </c>
      <c r="E69" s="164">
        <f>IF(+I14&lt;F68,I14,D69)</f>
        <v>0</v>
      </c>
      <c r="F69" s="163">
        <f t="shared" si="15"/>
        <v>0</v>
      </c>
      <c r="G69" s="165">
        <f t="shared" si="13"/>
        <v>0</v>
      </c>
      <c r="H69" s="147">
        <f t="shared" si="14"/>
        <v>0</v>
      </c>
      <c r="I69" s="160">
        <f t="shared" si="16"/>
        <v>0</v>
      </c>
      <c r="J69" s="160"/>
      <c r="K69" s="335"/>
      <c r="L69" s="162">
        <f t="shared" si="17"/>
        <v>0</v>
      </c>
      <c r="M69" s="335"/>
      <c r="N69" s="162">
        <f t="shared" si="18"/>
        <v>0</v>
      </c>
      <c r="O69" s="162">
        <f t="shared" si="19"/>
        <v>0</v>
      </c>
      <c r="P69" s="4"/>
    </row>
    <row r="70" spans="2:16">
      <c r="B70" s="9" t="str">
        <f t="shared" si="4"/>
        <v/>
      </c>
      <c r="C70" s="157">
        <f>IF(D11="","-",+C69+1)</f>
        <v>2060</v>
      </c>
      <c r="D70" s="163">
        <f>IF(F69+SUM(E$17:E69)=D$10,F69,D$10-SUM(E$17:E69))</f>
        <v>0</v>
      </c>
      <c r="E70" s="164">
        <f>IF(+I14&lt;F69,I14,D70)</f>
        <v>0</v>
      </c>
      <c r="F70" s="163">
        <f t="shared" si="15"/>
        <v>0</v>
      </c>
      <c r="G70" s="165">
        <f t="shared" si="13"/>
        <v>0</v>
      </c>
      <c r="H70" s="147">
        <f t="shared" si="14"/>
        <v>0</v>
      </c>
      <c r="I70" s="160">
        <f t="shared" si="16"/>
        <v>0</v>
      </c>
      <c r="J70" s="160"/>
      <c r="K70" s="335"/>
      <c r="L70" s="162">
        <f t="shared" si="17"/>
        <v>0</v>
      </c>
      <c r="M70" s="335"/>
      <c r="N70" s="162">
        <f t="shared" si="18"/>
        <v>0</v>
      </c>
      <c r="O70" s="162">
        <f t="shared" si="19"/>
        <v>0</v>
      </c>
      <c r="P70" s="4"/>
    </row>
    <row r="71" spans="2:16">
      <c r="B71" s="9" t="str">
        <f t="shared" si="4"/>
        <v/>
      </c>
      <c r="C71" s="157">
        <f>IF(D11="","-",+C70+1)</f>
        <v>2061</v>
      </c>
      <c r="D71" s="163">
        <f>IF(F70+SUM(E$17:E70)=D$10,F70,D$10-SUM(E$17:E70))</f>
        <v>0</v>
      </c>
      <c r="E71" s="164">
        <f>IF(+I14&lt;F70,I14,D71)</f>
        <v>0</v>
      </c>
      <c r="F71" s="163">
        <f t="shared" si="15"/>
        <v>0</v>
      </c>
      <c r="G71" s="165">
        <f t="shared" si="13"/>
        <v>0</v>
      </c>
      <c r="H71" s="147">
        <f t="shared" si="14"/>
        <v>0</v>
      </c>
      <c r="I71" s="160">
        <f t="shared" si="16"/>
        <v>0</v>
      </c>
      <c r="J71" s="160"/>
      <c r="K71" s="335"/>
      <c r="L71" s="162">
        <f t="shared" si="17"/>
        <v>0</v>
      </c>
      <c r="M71" s="335"/>
      <c r="N71" s="162">
        <f t="shared" si="18"/>
        <v>0</v>
      </c>
      <c r="O71" s="162">
        <f t="shared" si="19"/>
        <v>0</v>
      </c>
      <c r="P71" s="4"/>
    </row>
    <row r="72" spans="2:16" ht="13.5" thickBot="1">
      <c r="B72" s="9" t="str">
        <f t="shared" si="4"/>
        <v/>
      </c>
      <c r="C72" s="168">
        <f>IF(D11="","-",+C71+1)</f>
        <v>2062</v>
      </c>
      <c r="D72" s="169">
        <f>IF(F71+SUM(E$17:E71)=D$10,F71,D$10-SUM(E$17:E71))</f>
        <v>0</v>
      </c>
      <c r="E72" s="170">
        <f>IF(+I14&lt;F71,I14,D72)</f>
        <v>0</v>
      </c>
      <c r="F72" s="169">
        <f t="shared" si="15"/>
        <v>0</v>
      </c>
      <c r="G72" s="169">
        <f t="shared" si="13"/>
        <v>0</v>
      </c>
      <c r="H72" s="169">
        <f t="shared" si="14"/>
        <v>0</v>
      </c>
      <c r="I72" s="172">
        <f t="shared" si="16"/>
        <v>0</v>
      </c>
      <c r="J72" s="160"/>
      <c r="K72" s="336"/>
      <c r="L72" s="173">
        <f t="shared" si="17"/>
        <v>0</v>
      </c>
      <c r="M72" s="336"/>
      <c r="N72" s="173">
        <f t="shared" si="18"/>
        <v>0</v>
      </c>
      <c r="O72" s="173">
        <f t="shared" si="19"/>
        <v>0</v>
      </c>
      <c r="P72" s="4"/>
    </row>
    <row r="73" spans="2:16">
      <c r="C73" s="158" t="s">
        <v>72</v>
      </c>
      <c r="D73" s="115"/>
      <c r="E73" s="115">
        <f>SUM(E17:E72)</f>
        <v>84424</v>
      </c>
      <c r="F73" s="115"/>
      <c r="G73" s="115">
        <f>SUM(G17:G72)</f>
        <v>294080.58524187276</v>
      </c>
      <c r="H73" s="115">
        <f>SUM(H17:H72)</f>
        <v>294080.58524187276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4" t="str">
        <f ca="1">P1</f>
        <v>PSO Project 7 of 28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2018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10864.165928547483</v>
      </c>
      <c r="N87" s="202">
        <f>IF(J92&lt;D11,0,VLOOKUP(J92,C17:O72,11))</f>
        <v>10864.165928547483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8835.6498462369182</v>
      </c>
      <c r="N88" s="204">
        <f>IF(J92&lt;D11,0,VLOOKUP(J92,C99:P154,7))</f>
        <v>8835.6498462369182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Elk City - Elk City 69 kV line (CT Upgrades)*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-2028.5160823105653</v>
      </c>
      <c r="N89" s="207">
        <f>+N88-N87</f>
        <v>-2028.5160823105653</v>
      </c>
      <c r="O89" s="208">
        <f>+O88-O87</f>
        <v>0</v>
      </c>
      <c r="P89" s="1"/>
    </row>
    <row r="90" spans="1:16" ht="13.5" thickBot="1">
      <c r="C90" s="174"/>
      <c r="D90" s="177" t="str">
        <f>D8</f>
        <v>DOES NOT MEET SPP $100,000 MINIMUM INVESTMENT FOR REGIONAL BPU SHARING.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 t="str">
        <f>+D9</f>
        <v>TP2007015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138">
        <v>84424</v>
      </c>
      <c r="E92" s="22" t="s">
        <v>89</v>
      </c>
      <c r="H92" s="139"/>
      <c r="I92" s="139"/>
      <c r="J92" s="140">
        <f>+'PSO.WS.G.BPU.ATRR.True-up'!M16</f>
        <v>2018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2007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12</v>
      </c>
      <c r="E94" s="141" t="s">
        <v>51</v>
      </c>
      <c r="F94" s="139"/>
      <c r="G94" s="139"/>
      <c r="J94" s="145">
        <f>'PSO.WS.G.BPU.ATRR.True-up'!$F$81</f>
        <v>0.10273556682691798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43</v>
      </c>
      <c r="E95" s="141" t="s">
        <v>54</v>
      </c>
      <c r="F95" s="139"/>
      <c r="G95" s="139"/>
      <c r="J95" s="145">
        <f>IF(H87="",J94,'PSO.WS.G.BPU.ATRR.True-up'!$F$80)</f>
        <v>0.10273556682691798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1963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277</v>
      </c>
      <c r="I97" s="339" t="s">
        <v>278</v>
      </c>
      <c r="J97" s="214" t="s">
        <v>93</v>
      </c>
      <c r="K97" s="216"/>
      <c r="L97" s="339" t="s">
        <v>203</v>
      </c>
      <c r="M97" s="151" t="s">
        <v>94</v>
      </c>
      <c r="N97" s="339" t="s">
        <v>203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2007</v>
      </c>
      <c r="D99" s="366">
        <v>0</v>
      </c>
      <c r="E99" s="368">
        <v>0</v>
      </c>
      <c r="F99" s="371">
        <v>84424</v>
      </c>
      <c r="G99" s="373">
        <v>42212</v>
      </c>
      <c r="H99" s="374">
        <v>0</v>
      </c>
      <c r="I99" s="375">
        <v>0</v>
      </c>
      <c r="J99" s="162">
        <f t="shared" ref="J99:J130" si="20">+I99-H99</f>
        <v>0</v>
      </c>
      <c r="K99" s="162"/>
      <c r="L99" s="337">
        <v>0</v>
      </c>
      <c r="M99" s="161">
        <f t="shared" ref="M99:M130" si="21">IF(L99&lt;&gt;0,+H99-L99,0)</f>
        <v>0</v>
      </c>
      <c r="N99" s="337">
        <v>0</v>
      </c>
      <c r="O99" s="161">
        <f t="shared" ref="O99:O130" si="22">IF(N99&lt;&gt;0,+I99-N99,0)</f>
        <v>0</v>
      </c>
      <c r="P99" s="161">
        <f t="shared" ref="P99:P130" si="23">+O99-M99</f>
        <v>0</v>
      </c>
    </row>
    <row r="100" spans="1:16">
      <c r="B100" s="9" t="str">
        <f>IF(D100=F99,"","IU")</f>
        <v/>
      </c>
      <c r="C100" s="157">
        <f>IF(D93="","-",+C99+1)</f>
        <v>2008</v>
      </c>
      <c r="D100" s="366">
        <v>84424</v>
      </c>
      <c r="E100" s="368">
        <v>1593</v>
      </c>
      <c r="F100" s="371">
        <v>82831</v>
      </c>
      <c r="G100" s="371">
        <v>83628</v>
      </c>
      <c r="H100" s="368">
        <v>14877</v>
      </c>
      <c r="I100" s="370">
        <v>14877</v>
      </c>
      <c r="J100" s="162">
        <f t="shared" si="20"/>
        <v>0</v>
      </c>
      <c r="K100" s="162"/>
      <c r="L100" s="338">
        <v>14877</v>
      </c>
      <c r="M100" s="162">
        <f t="shared" si="21"/>
        <v>0</v>
      </c>
      <c r="N100" s="338">
        <v>14877</v>
      </c>
      <c r="O100" s="162">
        <f t="shared" si="22"/>
        <v>0</v>
      </c>
      <c r="P100" s="162">
        <f t="shared" si="23"/>
        <v>0</v>
      </c>
    </row>
    <row r="101" spans="1:16">
      <c r="B101" s="9" t="str">
        <f t="shared" ref="B101:B154" si="24">IF(D101=F100,"","IU")</f>
        <v/>
      </c>
      <c r="C101" s="157">
        <f>IF(D93="","-",+C100+1)</f>
        <v>2009</v>
      </c>
      <c r="D101" s="366">
        <v>82831</v>
      </c>
      <c r="E101" s="368">
        <v>1508</v>
      </c>
      <c r="F101" s="371">
        <v>81323</v>
      </c>
      <c r="G101" s="371">
        <v>82077</v>
      </c>
      <c r="H101" s="368">
        <v>13508.337143636172</v>
      </c>
      <c r="I101" s="370">
        <v>13508.337143636172</v>
      </c>
      <c r="J101" s="162">
        <f t="shared" si="20"/>
        <v>0</v>
      </c>
      <c r="K101" s="162"/>
      <c r="L101" s="380">
        <f t="shared" ref="L101:L106" si="25">H101</f>
        <v>13508.337143636172</v>
      </c>
      <c r="M101" s="381">
        <f t="shared" si="21"/>
        <v>0</v>
      </c>
      <c r="N101" s="380">
        <f t="shared" ref="N101:N106" si="26">I101</f>
        <v>13508.337143636172</v>
      </c>
      <c r="O101" s="162">
        <f t="shared" si="22"/>
        <v>0</v>
      </c>
      <c r="P101" s="162">
        <f t="shared" si="23"/>
        <v>0</v>
      </c>
    </row>
    <row r="102" spans="1:16">
      <c r="B102" s="9" t="str">
        <f t="shared" si="24"/>
        <v/>
      </c>
      <c r="C102" s="157">
        <f>IF(D93="","-",+C101+1)</f>
        <v>2010</v>
      </c>
      <c r="D102" s="366">
        <v>81323</v>
      </c>
      <c r="E102" s="368">
        <v>1655</v>
      </c>
      <c r="F102" s="371">
        <v>79668</v>
      </c>
      <c r="G102" s="371">
        <v>80495.5</v>
      </c>
      <c r="H102" s="368">
        <v>14599.901682354179</v>
      </c>
      <c r="I102" s="370">
        <v>14599.901682354179</v>
      </c>
      <c r="J102" s="162">
        <f t="shared" si="20"/>
        <v>0</v>
      </c>
      <c r="K102" s="162"/>
      <c r="L102" s="380">
        <f t="shared" si="25"/>
        <v>14599.901682354179</v>
      </c>
      <c r="M102" s="381">
        <f t="shared" si="21"/>
        <v>0</v>
      </c>
      <c r="N102" s="380">
        <f t="shared" si="26"/>
        <v>14599.901682354179</v>
      </c>
      <c r="O102" s="162">
        <f t="shared" si="22"/>
        <v>0</v>
      </c>
      <c r="P102" s="162">
        <f t="shared" si="23"/>
        <v>0</v>
      </c>
    </row>
    <row r="103" spans="1:16">
      <c r="B103" s="9" t="str">
        <f t="shared" si="24"/>
        <v/>
      </c>
      <c r="C103" s="157">
        <f>IF(D93="","-",+C102+1)</f>
        <v>2011</v>
      </c>
      <c r="D103" s="366">
        <v>79668</v>
      </c>
      <c r="E103" s="368">
        <v>1624</v>
      </c>
      <c r="F103" s="371">
        <v>78044</v>
      </c>
      <c r="G103" s="371">
        <v>78856</v>
      </c>
      <c r="H103" s="368">
        <v>12649.128461660426</v>
      </c>
      <c r="I103" s="370">
        <v>12649.128461660426</v>
      </c>
      <c r="J103" s="162">
        <f t="shared" si="20"/>
        <v>0</v>
      </c>
      <c r="K103" s="162"/>
      <c r="L103" s="380">
        <f t="shared" si="25"/>
        <v>12649.128461660426</v>
      </c>
      <c r="M103" s="381">
        <f t="shared" si="21"/>
        <v>0</v>
      </c>
      <c r="N103" s="380">
        <f t="shared" si="26"/>
        <v>12649.128461660426</v>
      </c>
      <c r="O103" s="162">
        <f t="shared" si="22"/>
        <v>0</v>
      </c>
      <c r="P103" s="162">
        <f t="shared" si="23"/>
        <v>0</v>
      </c>
    </row>
    <row r="104" spans="1:16">
      <c r="B104" s="9" t="str">
        <f t="shared" si="24"/>
        <v/>
      </c>
      <c r="C104" s="157">
        <f>IF(D93="","-",+C103+1)</f>
        <v>2012</v>
      </c>
      <c r="D104" s="366">
        <v>78044</v>
      </c>
      <c r="E104" s="368">
        <v>1624</v>
      </c>
      <c r="F104" s="371">
        <v>76420</v>
      </c>
      <c r="G104" s="371">
        <v>77232</v>
      </c>
      <c r="H104" s="368">
        <v>12734.246570183563</v>
      </c>
      <c r="I104" s="370">
        <v>12734.246570183563</v>
      </c>
      <c r="J104" s="162">
        <v>0</v>
      </c>
      <c r="K104" s="162"/>
      <c r="L104" s="380">
        <f t="shared" si="25"/>
        <v>12734.246570183563</v>
      </c>
      <c r="M104" s="381">
        <f t="shared" ref="M104:M109" si="27">IF(L104&lt;&gt;0,+H104-L104,0)</f>
        <v>0</v>
      </c>
      <c r="N104" s="380">
        <f t="shared" si="26"/>
        <v>12734.246570183563</v>
      </c>
      <c r="O104" s="162">
        <f t="shared" ref="O104:O109" si="28">IF(N104&lt;&gt;0,+I104-N104,0)</f>
        <v>0</v>
      </c>
      <c r="P104" s="162">
        <f t="shared" ref="P104:P109" si="29">+O104-M104</f>
        <v>0</v>
      </c>
    </row>
    <row r="105" spans="1:16">
      <c r="B105" s="9" t="str">
        <f t="shared" si="24"/>
        <v/>
      </c>
      <c r="C105" s="157">
        <f>IF(D93="","-",+C104+1)</f>
        <v>2013</v>
      </c>
      <c r="D105" s="366">
        <v>76420</v>
      </c>
      <c r="E105" s="368">
        <v>1624</v>
      </c>
      <c r="F105" s="371">
        <v>74796</v>
      </c>
      <c r="G105" s="371">
        <v>75608</v>
      </c>
      <c r="H105" s="368">
        <v>12506.984818583547</v>
      </c>
      <c r="I105" s="370">
        <v>12506.984818583547</v>
      </c>
      <c r="J105" s="162">
        <v>0</v>
      </c>
      <c r="K105" s="162"/>
      <c r="L105" s="380">
        <f t="shared" si="25"/>
        <v>12506.984818583547</v>
      </c>
      <c r="M105" s="381">
        <f t="shared" si="27"/>
        <v>0</v>
      </c>
      <c r="N105" s="380">
        <f t="shared" si="26"/>
        <v>12506.984818583547</v>
      </c>
      <c r="O105" s="162">
        <f t="shared" si="28"/>
        <v>0</v>
      </c>
      <c r="P105" s="162">
        <f t="shared" si="29"/>
        <v>0</v>
      </c>
    </row>
    <row r="106" spans="1:16">
      <c r="B106" s="9" t="str">
        <f t="shared" si="24"/>
        <v/>
      </c>
      <c r="C106" s="157">
        <f>IF(D93="","-",+C105+1)</f>
        <v>2014</v>
      </c>
      <c r="D106" s="366">
        <v>74796</v>
      </c>
      <c r="E106" s="368">
        <v>1624</v>
      </c>
      <c r="F106" s="371">
        <v>73172</v>
      </c>
      <c r="G106" s="371">
        <v>73984</v>
      </c>
      <c r="H106" s="368">
        <v>12025.847971361507</v>
      </c>
      <c r="I106" s="370">
        <v>12025.847971361507</v>
      </c>
      <c r="J106" s="162">
        <v>0</v>
      </c>
      <c r="K106" s="162"/>
      <c r="L106" s="380">
        <f t="shared" si="25"/>
        <v>12025.847971361507</v>
      </c>
      <c r="M106" s="381">
        <f t="shared" si="27"/>
        <v>0</v>
      </c>
      <c r="N106" s="380">
        <f t="shared" si="26"/>
        <v>12025.847971361507</v>
      </c>
      <c r="O106" s="162">
        <f t="shared" si="28"/>
        <v>0</v>
      </c>
      <c r="P106" s="162">
        <f t="shared" si="29"/>
        <v>0</v>
      </c>
    </row>
    <row r="107" spans="1:16">
      <c r="B107" s="9" t="str">
        <f t="shared" si="24"/>
        <v/>
      </c>
      <c r="C107" s="157">
        <f>IF(D93="","-",+C106+1)</f>
        <v>2015</v>
      </c>
      <c r="D107" s="366">
        <v>73172</v>
      </c>
      <c r="E107" s="368">
        <v>1624</v>
      </c>
      <c r="F107" s="371">
        <v>71548</v>
      </c>
      <c r="G107" s="371">
        <v>72360</v>
      </c>
      <c r="H107" s="368">
        <v>11496.940196929139</v>
      </c>
      <c r="I107" s="370">
        <v>11496.940196929139</v>
      </c>
      <c r="J107" s="162">
        <f t="shared" si="20"/>
        <v>0</v>
      </c>
      <c r="K107" s="162"/>
      <c r="L107" s="380">
        <f>H107</f>
        <v>11496.940196929139</v>
      </c>
      <c r="M107" s="381">
        <f t="shared" si="27"/>
        <v>0</v>
      </c>
      <c r="N107" s="380">
        <f>I107</f>
        <v>11496.940196929139</v>
      </c>
      <c r="O107" s="162">
        <f t="shared" si="28"/>
        <v>0</v>
      </c>
      <c r="P107" s="162">
        <f t="shared" si="29"/>
        <v>0</v>
      </c>
    </row>
    <row r="108" spans="1:16">
      <c r="B108" s="9" t="str">
        <f t="shared" si="24"/>
        <v/>
      </c>
      <c r="C108" s="157">
        <f>IF(D93="","-",+C107+1)</f>
        <v>2016</v>
      </c>
      <c r="D108" s="366">
        <v>71548</v>
      </c>
      <c r="E108" s="368">
        <v>1835</v>
      </c>
      <c r="F108" s="371">
        <v>69713</v>
      </c>
      <c r="G108" s="371">
        <v>70630.5</v>
      </c>
      <c r="H108" s="368">
        <v>10940.383800869789</v>
      </c>
      <c r="I108" s="370">
        <v>10940.383800869789</v>
      </c>
      <c r="J108" s="162">
        <v>0</v>
      </c>
      <c r="K108" s="162"/>
      <c r="L108" s="380">
        <f>H108</f>
        <v>10940.383800869789</v>
      </c>
      <c r="M108" s="381">
        <f t="shared" si="27"/>
        <v>0</v>
      </c>
      <c r="N108" s="380">
        <f>I108</f>
        <v>10940.383800869789</v>
      </c>
      <c r="O108" s="162">
        <f t="shared" si="28"/>
        <v>0</v>
      </c>
      <c r="P108" s="162">
        <f t="shared" si="29"/>
        <v>0</v>
      </c>
    </row>
    <row r="109" spans="1:16">
      <c r="B109" s="9" t="str">
        <f t="shared" si="24"/>
        <v/>
      </c>
      <c r="C109" s="157">
        <f>IF(D93="","-",+C108+1)</f>
        <v>2017</v>
      </c>
      <c r="D109" s="366">
        <v>69713</v>
      </c>
      <c r="E109" s="368">
        <v>1835</v>
      </c>
      <c r="F109" s="371">
        <v>67878</v>
      </c>
      <c r="G109" s="371">
        <v>68795.5</v>
      </c>
      <c r="H109" s="368">
        <v>10561.882642914878</v>
      </c>
      <c r="I109" s="370">
        <v>10561.882642914878</v>
      </c>
      <c r="J109" s="162">
        <f t="shared" si="20"/>
        <v>0</v>
      </c>
      <c r="K109" s="162"/>
      <c r="L109" s="380">
        <f>H109</f>
        <v>10561.882642914878</v>
      </c>
      <c r="M109" s="381">
        <f t="shared" si="27"/>
        <v>0</v>
      </c>
      <c r="N109" s="380">
        <f>I109</f>
        <v>10561.882642914878</v>
      </c>
      <c r="O109" s="162">
        <f t="shared" si="28"/>
        <v>0</v>
      </c>
      <c r="P109" s="162">
        <f t="shared" si="29"/>
        <v>0</v>
      </c>
    </row>
    <row r="110" spans="1:16">
      <c r="B110" s="9" t="str">
        <f t="shared" si="24"/>
        <v/>
      </c>
      <c r="C110" s="157">
        <f>IF(D93="","-",+C109+1)</f>
        <v>2018</v>
      </c>
      <c r="D110" s="158">
        <f>IF(F109+SUM(E$99:E109)=D$92,F109,D$92-SUM(E$99:E109))</f>
        <v>67878</v>
      </c>
      <c r="E110" s="165">
        <f>IF(+J96&lt;F109,J96,D110)</f>
        <v>1963</v>
      </c>
      <c r="F110" s="163">
        <f t="shared" ref="F110:F129" si="30">+D110-E110</f>
        <v>65915</v>
      </c>
      <c r="G110" s="163">
        <f t="shared" ref="G110:G129" si="31">+(F110+D110)/2</f>
        <v>66896.5</v>
      </c>
      <c r="H110" s="167">
        <f t="shared" ref="H110:H154" si="32">+J$94*G110+E110</f>
        <v>8835.6498462369182</v>
      </c>
      <c r="I110" s="317">
        <f t="shared" ref="I110:I154" si="33">+J$95*G110+E110</f>
        <v>8835.6498462369182</v>
      </c>
      <c r="J110" s="162">
        <f t="shared" si="20"/>
        <v>0</v>
      </c>
      <c r="K110" s="162"/>
      <c r="L110" s="335"/>
      <c r="M110" s="162">
        <f t="shared" si="21"/>
        <v>0</v>
      </c>
      <c r="N110" s="335"/>
      <c r="O110" s="162">
        <f t="shared" si="22"/>
        <v>0</v>
      </c>
      <c r="P110" s="162">
        <f t="shared" si="23"/>
        <v>0</v>
      </c>
    </row>
    <row r="111" spans="1:16">
      <c r="B111" s="9" t="str">
        <f t="shared" si="24"/>
        <v/>
      </c>
      <c r="C111" s="157">
        <f>IF(D93="","-",+C110+1)</f>
        <v>2019</v>
      </c>
      <c r="D111" s="158">
        <f>IF(F110+SUM(E$99:E110)=D$92,F110,D$92-SUM(E$99:E110))</f>
        <v>65915</v>
      </c>
      <c r="E111" s="165">
        <f>IF(+J96&lt;F110,J96,D111)</f>
        <v>1963</v>
      </c>
      <c r="F111" s="163">
        <f t="shared" si="30"/>
        <v>63952</v>
      </c>
      <c r="G111" s="163">
        <f t="shared" si="31"/>
        <v>64933.5</v>
      </c>
      <c r="H111" s="167">
        <f t="shared" si="32"/>
        <v>8633.9799285556783</v>
      </c>
      <c r="I111" s="317">
        <f t="shared" si="33"/>
        <v>8633.9799285556783</v>
      </c>
      <c r="J111" s="162">
        <f t="shared" si="20"/>
        <v>0</v>
      </c>
      <c r="K111" s="162"/>
      <c r="L111" s="335"/>
      <c r="M111" s="162">
        <f t="shared" si="21"/>
        <v>0</v>
      </c>
      <c r="N111" s="335"/>
      <c r="O111" s="162">
        <f t="shared" si="22"/>
        <v>0</v>
      </c>
      <c r="P111" s="162">
        <f t="shared" si="23"/>
        <v>0</v>
      </c>
    </row>
    <row r="112" spans="1:16">
      <c r="B112" s="9" t="str">
        <f t="shared" si="24"/>
        <v/>
      </c>
      <c r="C112" s="157">
        <f>IF(D93="","-",+C111+1)</f>
        <v>2020</v>
      </c>
      <c r="D112" s="158">
        <f>IF(F111+SUM(E$99:E111)=D$92,F111,D$92-SUM(E$99:E111))</f>
        <v>63952</v>
      </c>
      <c r="E112" s="165">
        <f>IF(+J96&lt;F111,J96,D112)</f>
        <v>1963</v>
      </c>
      <c r="F112" s="163">
        <f t="shared" si="30"/>
        <v>61989</v>
      </c>
      <c r="G112" s="163">
        <f t="shared" si="31"/>
        <v>62970.5</v>
      </c>
      <c r="H112" s="167">
        <f t="shared" si="32"/>
        <v>8432.3100108744384</v>
      </c>
      <c r="I112" s="317">
        <f t="shared" si="33"/>
        <v>8432.3100108744384</v>
      </c>
      <c r="J112" s="162">
        <f t="shared" si="20"/>
        <v>0</v>
      </c>
      <c r="K112" s="162"/>
      <c r="L112" s="335"/>
      <c r="M112" s="162">
        <f t="shared" si="21"/>
        <v>0</v>
      </c>
      <c r="N112" s="335"/>
      <c r="O112" s="162">
        <f t="shared" si="22"/>
        <v>0</v>
      </c>
      <c r="P112" s="162">
        <f t="shared" si="23"/>
        <v>0</v>
      </c>
    </row>
    <row r="113" spans="2:16">
      <c r="B113" s="9" t="str">
        <f t="shared" si="24"/>
        <v/>
      </c>
      <c r="C113" s="157">
        <f>IF(D93="","-",+C112+1)</f>
        <v>2021</v>
      </c>
      <c r="D113" s="158">
        <f>IF(F112+SUM(E$99:E112)=D$92,F112,D$92-SUM(E$99:E112))</f>
        <v>61989</v>
      </c>
      <c r="E113" s="165">
        <f>IF(+J96&lt;F112,J96,D113)</f>
        <v>1963</v>
      </c>
      <c r="F113" s="163">
        <f t="shared" si="30"/>
        <v>60026</v>
      </c>
      <c r="G113" s="163">
        <f t="shared" si="31"/>
        <v>61007.5</v>
      </c>
      <c r="H113" s="167">
        <f t="shared" si="32"/>
        <v>8230.6400931931985</v>
      </c>
      <c r="I113" s="317">
        <f t="shared" si="33"/>
        <v>8230.6400931931985</v>
      </c>
      <c r="J113" s="162">
        <f t="shared" si="20"/>
        <v>0</v>
      </c>
      <c r="K113" s="162"/>
      <c r="L113" s="335"/>
      <c r="M113" s="162">
        <f t="shared" si="21"/>
        <v>0</v>
      </c>
      <c r="N113" s="335"/>
      <c r="O113" s="162">
        <f t="shared" si="22"/>
        <v>0</v>
      </c>
      <c r="P113" s="162">
        <f t="shared" si="23"/>
        <v>0</v>
      </c>
    </row>
    <row r="114" spans="2:16">
      <c r="B114" s="9" t="str">
        <f t="shared" si="24"/>
        <v/>
      </c>
      <c r="C114" s="157">
        <f>IF(D93="","-",+C113+1)</f>
        <v>2022</v>
      </c>
      <c r="D114" s="158">
        <f>IF(F113+SUM(E$99:E113)=D$92,F113,D$92-SUM(E$99:E113))</f>
        <v>60026</v>
      </c>
      <c r="E114" s="165">
        <f>IF(+J96&lt;F113,J96,D114)</f>
        <v>1963</v>
      </c>
      <c r="F114" s="163">
        <f t="shared" si="30"/>
        <v>58063</v>
      </c>
      <c r="G114" s="163">
        <f t="shared" si="31"/>
        <v>59044.5</v>
      </c>
      <c r="H114" s="167">
        <f t="shared" si="32"/>
        <v>8028.9701755119586</v>
      </c>
      <c r="I114" s="317">
        <f t="shared" si="33"/>
        <v>8028.9701755119586</v>
      </c>
      <c r="J114" s="162">
        <f t="shared" si="20"/>
        <v>0</v>
      </c>
      <c r="K114" s="162"/>
      <c r="L114" s="335"/>
      <c r="M114" s="162">
        <f t="shared" si="21"/>
        <v>0</v>
      </c>
      <c r="N114" s="335"/>
      <c r="O114" s="162">
        <f t="shared" si="22"/>
        <v>0</v>
      </c>
      <c r="P114" s="162">
        <f t="shared" si="23"/>
        <v>0</v>
      </c>
    </row>
    <row r="115" spans="2:16">
      <c r="B115" s="9" t="str">
        <f t="shared" si="24"/>
        <v/>
      </c>
      <c r="C115" s="157">
        <f>IF(D93="","-",+C114+1)</f>
        <v>2023</v>
      </c>
      <c r="D115" s="158">
        <f>IF(F114+SUM(E$99:E114)=D$92,F114,D$92-SUM(E$99:E114))</f>
        <v>58063</v>
      </c>
      <c r="E115" s="165">
        <f>IF(+J96&lt;F114,J96,D115)</f>
        <v>1963</v>
      </c>
      <c r="F115" s="163">
        <f t="shared" si="30"/>
        <v>56100</v>
      </c>
      <c r="G115" s="163">
        <f t="shared" si="31"/>
        <v>57081.5</v>
      </c>
      <c r="H115" s="167">
        <f t="shared" si="32"/>
        <v>7827.3002578307187</v>
      </c>
      <c r="I115" s="317">
        <f t="shared" si="33"/>
        <v>7827.3002578307187</v>
      </c>
      <c r="J115" s="162">
        <f t="shared" si="20"/>
        <v>0</v>
      </c>
      <c r="K115" s="162"/>
      <c r="L115" s="335"/>
      <c r="M115" s="162">
        <f t="shared" si="21"/>
        <v>0</v>
      </c>
      <c r="N115" s="335"/>
      <c r="O115" s="162">
        <f t="shared" si="22"/>
        <v>0</v>
      </c>
      <c r="P115" s="162">
        <f t="shared" si="23"/>
        <v>0</v>
      </c>
    </row>
    <row r="116" spans="2:16">
      <c r="B116" s="9" t="str">
        <f t="shared" si="24"/>
        <v/>
      </c>
      <c r="C116" s="157">
        <f>IF(D93="","-",+C115+1)</f>
        <v>2024</v>
      </c>
      <c r="D116" s="158">
        <f>IF(F115+SUM(E$99:E115)=D$92,F115,D$92-SUM(E$99:E115))</f>
        <v>56100</v>
      </c>
      <c r="E116" s="165">
        <f>IF(+J96&lt;F115,J96,D116)</f>
        <v>1963</v>
      </c>
      <c r="F116" s="163">
        <f t="shared" si="30"/>
        <v>54137</v>
      </c>
      <c r="G116" s="163">
        <f t="shared" si="31"/>
        <v>55118.5</v>
      </c>
      <c r="H116" s="167">
        <f t="shared" si="32"/>
        <v>7625.6303401494788</v>
      </c>
      <c r="I116" s="317">
        <f t="shared" si="33"/>
        <v>7625.6303401494788</v>
      </c>
      <c r="J116" s="162">
        <f t="shared" si="20"/>
        <v>0</v>
      </c>
      <c r="K116" s="162"/>
      <c r="L116" s="335"/>
      <c r="M116" s="162">
        <f t="shared" si="21"/>
        <v>0</v>
      </c>
      <c r="N116" s="335"/>
      <c r="O116" s="162">
        <f t="shared" si="22"/>
        <v>0</v>
      </c>
      <c r="P116" s="162">
        <f t="shared" si="23"/>
        <v>0</v>
      </c>
    </row>
    <row r="117" spans="2:16">
      <c r="B117" s="9" t="str">
        <f t="shared" si="24"/>
        <v/>
      </c>
      <c r="C117" s="157">
        <f>IF(D93="","-",+C116+1)</f>
        <v>2025</v>
      </c>
      <c r="D117" s="158">
        <f>IF(F116+SUM(E$99:E116)=D$92,F116,D$92-SUM(E$99:E116))</f>
        <v>54137</v>
      </c>
      <c r="E117" s="165">
        <f>IF(+J96&lt;F116,J96,D117)</f>
        <v>1963</v>
      </c>
      <c r="F117" s="163">
        <f t="shared" si="30"/>
        <v>52174</v>
      </c>
      <c r="G117" s="163">
        <f t="shared" si="31"/>
        <v>53155.5</v>
      </c>
      <c r="H117" s="167">
        <f t="shared" si="32"/>
        <v>7423.9604224682389</v>
      </c>
      <c r="I117" s="317">
        <f t="shared" si="33"/>
        <v>7423.9604224682389</v>
      </c>
      <c r="J117" s="162">
        <f t="shared" si="20"/>
        <v>0</v>
      </c>
      <c r="K117" s="162"/>
      <c r="L117" s="335"/>
      <c r="M117" s="162">
        <f t="shared" si="21"/>
        <v>0</v>
      </c>
      <c r="N117" s="335"/>
      <c r="O117" s="162">
        <f t="shared" si="22"/>
        <v>0</v>
      </c>
      <c r="P117" s="162">
        <f t="shared" si="23"/>
        <v>0</v>
      </c>
    </row>
    <row r="118" spans="2:16">
      <c r="B118" s="9" t="str">
        <f t="shared" si="24"/>
        <v/>
      </c>
      <c r="C118" s="157">
        <f>IF(D93="","-",+C117+1)</f>
        <v>2026</v>
      </c>
      <c r="D118" s="158">
        <f>IF(F117+SUM(E$99:E117)=D$92,F117,D$92-SUM(E$99:E117))</f>
        <v>52174</v>
      </c>
      <c r="E118" s="165">
        <f>IF(+J96&lt;F117,J96,D118)</f>
        <v>1963</v>
      </c>
      <c r="F118" s="163">
        <f t="shared" si="30"/>
        <v>50211</v>
      </c>
      <c r="G118" s="163">
        <f t="shared" si="31"/>
        <v>51192.5</v>
      </c>
      <c r="H118" s="167">
        <f t="shared" si="32"/>
        <v>7222.290504786999</v>
      </c>
      <c r="I118" s="317">
        <f t="shared" si="33"/>
        <v>7222.290504786999</v>
      </c>
      <c r="J118" s="162">
        <f t="shared" si="20"/>
        <v>0</v>
      </c>
      <c r="K118" s="162"/>
      <c r="L118" s="335"/>
      <c r="M118" s="162">
        <f t="shared" si="21"/>
        <v>0</v>
      </c>
      <c r="N118" s="335"/>
      <c r="O118" s="162">
        <f t="shared" si="22"/>
        <v>0</v>
      </c>
      <c r="P118" s="162">
        <f t="shared" si="23"/>
        <v>0</v>
      </c>
    </row>
    <row r="119" spans="2:16">
      <c r="B119" s="9" t="str">
        <f t="shared" si="24"/>
        <v/>
      </c>
      <c r="C119" s="157">
        <f>IF(D93="","-",+C118+1)</f>
        <v>2027</v>
      </c>
      <c r="D119" s="158">
        <f>IF(F118+SUM(E$99:E118)=D$92,F118,D$92-SUM(E$99:E118))</f>
        <v>50211</v>
      </c>
      <c r="E119" s="165">
        <f>IF(+J96&lt;F118,J96,D119)</f>
        <v>1963</v>
      </c>
      <c r="F119" s="163">
        <f t="shared" si="30"/>
        <v>48248</v>
      </c>
      <c r="G119" s="163">
        <f t="shared" si="31"/>
        <v>49229.5</v>
      </c>
      <c r="H119" s="167">
        <f t="shared" si="32"/>
        <v>7020.6205871057582</v>
      </c>
      <c r="I119" s="317">
        <f t="shared" si="33"/>
        <v>7020.6205871057582</v>
      </c>
      <c r="J119" s="162">
        <f t="shared" si="20"/>
        <v>0</v>
      </c>
      <c r="K119" s="162"/>
      <c r="L119" s="335"/>
      <c r="M119" s="162">
        <f t="shared" si="21"/>
        <v>0</v>
      </c>
      <c r="N119" s="335"/>
      <c r="O119" s="162">
        <f t="shared" si="22"/>
        <v>0</v>
      </c>
      <c r="P119" s="162">
        <f t="shared" si="23"/>
        <v>0</v>
      </c>
    </row>
    <row r="120" spans="2:16">
      <c r="B120" s="9" t="str">
        <f t="shared" si="24"/>
        <v/>
      </c>
      <c r="C120" s="157">
        <f>IF(D93="","-",+C119+1)</f>
        <v>2028</v>
      </c>
      <c r="D120" s="158">
        <f>IF(F119+SUM(E$99:E119)=D$92,F119,D$92-SUM(E$99:E119))</f>
        <v>48248</v>
      </c>
      <c r="E120" s="165">
        <f>IF(+J96&lt;F119,J96,D120)</f>
        <v>1963</v>
      </c>
      <c r="F120" s="163">
        <f t="shared" si="30"/>
        <v>46285</v>
      </c>
      <c r="G120" s="163">
        <f t="shared" si="31"/>
        <v>47266.5</v>
      </c>
      <c r="H120" s="167">
        <f t="shared" si="32"/>
        <v>6818.9506694245183</v>
      </c>
      <c r="I120" s="317">
        <f t="shared" si="33"/>
        <v>6818.9506694245183</v>
      </c>
      <c r="J120" s="162">
        <f t="shared" si="20"/>
        <v>0</v>
      </c>
      <c r="K120" s="162"/>
      <c r="L120" s="335"/>
      <c r="M120" s="162">
        <f t="shared" si="21"/>
        <v>0</v>
      </c>
      <c r="N120" s="335"/>
      <c r="O120" s="162">
        <f t="shared" si="22"/>
        <v>0</v>
      </c>
      <c r="P120" s="162">
        <f t="shared" si="23"/>
        <v>0</v>
      </c>
    </row>
    <row r="121" spans="2:16">
      <c r="B121" s="9" t="str">
        <f t="shared" si="24"/>
        <v/>
      </c>
      <c r="C121" s="157">
        <f>IF(D93="","-",+C120+1)</f>
        <v>2029</v>
      </c>
      <c r="D121" s="158">
        <f>IF(F120+SUM(E$99:E120)=D$92,F120,D$92-SUM(E$99:E120))</f>
        <v>46285</v>
      </c>
      <c r="E121" s="165">
        <f>IF(+J96&lt;F120,J96,D121)</f>
        <v>1963</v>
      </c>
      <c r="F121" s="163">
        <f t="shared" si="30"/>
        <v>44322</v>
      </c>
      <c r="G121" s="163">
        <f t="shared" si="31"/>
        <v>45303.5</v>
      </c>
      <c r="H121" s="167">
        <f t="shared" si="32"/>
        <v>6617.2807517432784</v>
      </c>
      <c r="I121" s="317">
        <f t="shared" si="33"/>
        <v>6617.2807517432784</v>
      </c>
      <c r="J121" s="162">
        <f t="shared" si="20"/>
        <v>0</v>
      </c>
      <c r="K121" s="162"/>
      <c r="L121" s="335"/>
      <c r="M121" s="162">
        <f t="shared" si="21"/>
        <v>0</v>
      </c>
      <c r="N121" s="335"/>
      <c r="O121" s="162">
        <f t="shared" si="22"/>
        <v>0</v>
      </c>
      <c r="P121" s="162">
        <f t="shared" si="23"/>
        <v>0</v>
      </c>
    </row>
    <row r="122" spans="2:16">
      <c r="B122" s="9" t="str">
        <f t="shared" si="24"/>
        <v/>
      </c>
      <c r="C122" s="157">
        <f>IF(D93="","-",+C121+1)</f>
        <v>2030</v>
      </c>
      <c r="D122" s="158">
        <f>IF(F121+SUM(E$99:E121)=D$92,F121,D$92-SUM(E$99:E121))</f>
        <v>44322</v>
      </c>
      <c r="E122" s="165">
        <f>IF(+J96&lt;F121,J96,D122)</f>
        <v>1963</v>
      </c>
      <c r="F122" s="163">
        <f t="shared" si="30"/>
        <v>42359</v>
      </c>
      <c r="G122" s="163">
        <f t="shared" si="31"/>
        <v>43340.5</v>
      </c>
      <c r="H122" s="167">
        <f t="shared" si="32"/>
        <v>6415.6108340620385</v>
      </c>
      <c r="I122" s="317">
        <f t="shared" si="33"/>
        <v>6415.6108340620385</v>
      </c>
      <c r="J122" s="162">
        <f t="shared" si="20"/>
        <v>0</v>
      </c>
      <c r="K122" s="162"/>
      <c r="L122" s="335"/>
      <c r="M122" s="162">
        <f t="shared" si="21"/>
        <v>0</v>
      </c>
      <c r="N122" s="335"/>
      <c r="O122" s="162">
        <f t="shared" si="22"/>
        <v>0</v>
      </c>
      <c r="P122" s="162">
        <f t="shared" si="23"/>
        <v>0</v>
      </c>
    </row>
    <row r="123" spans="2:16">
      <c r="B123" s="9" t="str">
        <f t="shared" si="24"/>
        <v/>
      </c>
      <c r="C123" s="157">
        <f>IF(D93="","-",+C122+1)</f>
        <v>2031</v>
      </c>
      <c r="D123" s="158">
        <f>IF(F122+SUM(E$99:E122)=D$92,F122,D$92-SUM(E$99:E122))</f>
        <v>42359</v>
      </c>
      <c r="E123" s="165">
        <f>IF(+J96&lt;F122,J96,D123)</f>
        <v>1963</v>
      </c>
      <c r="F123" s="163">
        <f t="shared" si="30"/>
        <v>40396</v>
      </c>
      <c r="G123" s="163">
        <f t="shared" si="31"/>
        <v>41377.5</v>
      </c>
      <c r="H123" s="167">
        <f t="shared" si="32"/>
        <v>6213.9409163807986</v>
      </c>
      <c r="I123" s="317">
        <f t="shared" si="33"/>
        <v>6213.9409163807986</v>
      </c>
      <c r="J123" s="162">
        <f t="shared" si="20"/>
        <v>0</v>
      </c>
      <c r="K123" s="162"/>
      <c r="L123" s="335"/>
      <c r="M123" s="162">
        <f t="shared" si="21"/>
        <v>0</v>
      </c>
      <c r="N123" s="335"/>
      <c r="O123" s="162">
        <f t="shared" si="22"/>
        <v>0</v>
      </c>
      <c r="P123" s="162">
        <f t="shared" si="23"/>
        <v>0</v>
      </c>
    </row>
    <row r="124" spans="2:16">
      <c r="B124" s="9" t="str">
        <f t="shared" si="24"/>
        <v/>
      </c>
      <c r="C124" s="157">
        <f>IF(D93="","-",+C123+1)</f>
        <v>2032</v>
      </c>
      <c r="D124" s="158">
        <f>IF(F123+SUM(E$99:E123)=D$92,F123,D$92-SUM(E$99:E123))</f>
        <v>40396</v>
      </c>
      <c r="E124" s="165">
        <f>IF(+J96&lt;F123,J96,D124)</f>
        <v>1963</v>
      </c>
      <c r="F124" s="163">
        <f t="shared" si="30"/>
        <v>38433</v>
      </c>
      <c r="G124" s="163">
        <f t="shared" si="31"/>
        <v>39414.5</v>
      </c>
      <c r="H124" s="167">
        <f t="shared" si="32"/>
        <v>6012.2709986995587</v>
      </c>
      <c r="I124" s="317">
        <f t="shared" si="33"/>
        <v>6012.2709986995587</v>
      </c>
      <c r="J124" s="162">
        <f t="shared" si="20"/>
        <v>0</v>
      </c>
      <c r="K124" s="162"/>
      <c r="L124" s="335"/>
      <c r="M124" s="162">
        <f t="shared" si="21"/>
        <v>0</v>
      </c>
      <c r="N124" s="335"/>
      <c r="O124" s="162">
        <f t="shared" si="22"/>
        <v>0</v>
      </c>
      <c r="P124" s="162">
        <f t="shared" si="23"/>
        <v>0</v>
      </c>
    </row>
    <row r="125" spans="2:16">
      <c r="B125" s="9" t="str">
        <f t="shared" si="24"/>
        <v/>
      </c>
      <c r="C125" s="157">
        <f>IF(D93="","-",+C124+1)</f>
        <v>2033</v>
      </c>
      <c r="D125" s="158">
        <f>IF(F124+SUM(E$99:E124)=D$92,F124,D$92-SUM(E$99:E124))</f>
        <v>38433</v>
      </c>
      <c r="E125" s="165">
        <f>IF(+J96&lt;F124,J96,D125)</f>
        <v>1963</v>
      </c>
      <c r="F125" s="163">
        <f t="shared" si="30"/>
        <v>36470</v>
      </c>
      <c r="G125" s="163">
        <f t="shared" si="31"/>
        <v>37451.5</v>
      </c>
      <c r="H125" s="167">
        <f t="shared" si="32"/>
        <v>5810.6010810183188</v>
      </c>
      <c r="I125" s="317">
        <f t="shared" si="33"/>
        <v>5810.6010810183188</v>
      </c>
      <c r="J125" s="162">
        <f t="shared" si="20"/>
        <v>0</v>
      </c>
      <c r="K125" s="162"/>
      <c r="L125" s="335"/>
      <c r="M125" s="162">
        <f t="shared" si="21"/>
        <v>0</v>
      </c>
      <c r="N125" s="335"/>
      <c r="O125" s="162">
        <f t="shared" si="22"/>
        <v>0</v>
      </c>
      <c r="P125" s="162">
        <f t="shared" si="23"/>
        <v>0</v>
      </c>
    </row>
    <row r="126" spans="2:16">
      <c r="B126" s="9" t="str">
        <f t="shared" si="24"/>
        <v/>
      </c>
      <c r="C126" s="157">
        <f>IF(D93="","-",+C125+1)</f>
        <v>2034</v>
      </c>
      <c r="D126" s="158">
        <f>IF(F125+SUM(E$99:E125)=D$92,F125,D$92-SUM(E$99:E125))</f>
        <v>36470</v>
      </c>
      <c r="E126" s="165">
        <f>IF(+J96&lt;F125,J96,D126)</f>
        <v>1963</v>
      </c>
      <c r="F126" s="163">
        <f t="shared" si="30"/>
        <v>34507</v>
      </c>
      <c r="G126" s="163">
        <f t="shared" si="31"/>
        <v>35488.5</v>
      </c>
      <c r="H126" s="167">
        <f t="shared" si="32"/>
        <v>5608.931163337078</v>
      </c>
      <c r="I126" s="317">
        <f t="shared" si="33"/>
        <v>5608.931163337078</v>
      </c>
      <c r="J126" s="162">
        <f t="shared" si="20"/>
        <v>0</v>
      </c>
      <c r="K126" s="162"/>
      <c r="L126" s="335"/>
      <c r="M126" s="162">
        <f t="shared" si="21"/>
        <v>0</v>
      </c>
      <c r="N126" s="335"/>
      <c r="O126" s="162">
        <f t="shared" si="22"/>
        <v>0</v>
      </c>
      <c r="P126" s="162">
        <f t="shared" si="23"/>
        <v>0</v>
      </c>
    </row>
    <row r="127" spans="2:16">
      <c r="B127" s="9" t="str">
        <f t="shared" si="24"/>
        <v/>
      </c>
      <c r="C127" s="157">
        <f>IF(D93="","-",+C126+1)</f>
        <v>2035</v>
      </c>
      <c r="D127" s="158">
        <f>IF(F126+SUM(E$99:E126)=D$92,F126,D$92-SUM(E$99:E126))</f>
        <v>34507</v>
      </c>
      <c r="E127" s="165">
        <f>IF(+J96&lt;F126,J96,D127)</f>
        <v>1963</v>
      </c>
      <c r="F127" s="163">
        <f t="shared" si="30"/>
        <v>32544</v>
      </c>
      <c r="G127" s="163">
        <f t="shared" si="31"/>
        <v>33525.5</v>
      </c>
      <c r="H127" s="167">
        <f t="shared" si="32"/>
        <v>5407.2612456558381</v>
      </c>
      <c r="I127" s="317">
        <f t="shared" si="33"/>
        <v>5407.2612456558381</v>
      </c>
      <c r="J127" s="162">
        <f t="shared" si="20"/>
        <v>0</v>
      </c>
      <c r="K127" s="162"/>
      <c r="L127" s="335"/>
      <c r="M127" s="162">
        <f t="shared" si="21"/>
        <v>0</v>
      </c>
      <c r="N127" s="335"/>
      <c r="O127" s="162">
        <f t="shared" si="22"/>
        <v>0</v>
      </c>
      <c r="P127" s="162">
        <f t="shared" si="23"/>
        <v>0</v>
      </c>
    </row>
    <row r="128" spans="2:16">
      <c r="B128" s="9" t="str">
        <f t="shared" si="24"/>
        <v/>
      </c>
      <c r="C128" s="157">
        <f>IF(D93="","-",+C127+1)</f>
        <v>2036</v>
      </c>
      <c r="D128" s="158">
        <f>IF(F127+SUM(E$99:E127)=D$92,F127,D$92-SUM(E$99:E127))</f>
        <v>32544</v>
      </c>
      <c r="E128" s="165">
        <f>IF(+J96&lt;F127,J96,D128)</f>
        <v>1963</v>
      </c>
      <c r="F128" s="163">
        <f t="shared" si="30"/>
        <v>30581</v>
      </c>
      <c r="G128" s="163">
        <f t="shared" si="31"/>
        <v>31562.5</v>
      </c>
      <c r="H128" s="167">
        <f t="shared" si="32"/>
        <v>5205.5913279745982</v>
      </c>
      <c r="I128" s="317">
        <f t="shared" si="33"/>
        <v>5205.5913279745982</v>
      </c>
      <c r="J128" s="162">
        <f t="shared" si="20"/>
        <v>0</v>
      </c>
      <c r="K128" s="162"/>
      <c r="L128" s="335"/>
      <c r="M128" s="162">
        <f t="shared" si="21"/>
        <v>0</v>
      </c>
      <c r="N128" s="335"/>
      <c r="O128" s="162">
        <f t="shared" si="22"/>
        <v>0</v>
      </c>
      <c r="P128" s="162">
        <f t="shared" si="23"/>
        <v>0</v>
      </c>
    </row>
    <row r="129" spans="2:16">
      <c r="B129" s="9" t="str">
        <f t="shared" si="24"/>
        <v/>
      </c>
      <c r="C129" s="157">
        <f>IF(D93="","-",+C128+1)</f>
        <v>2037</v>
      </c>
      <c r="D129" s="158">
        <f>IF(F128+SUM(E$99:E128)=D$92,F128,D$92-SUM(E$99:E128))</f>
        <v>30581</v>
      </c>
      <c r="E129" s="165">
        <f>IF(+J96&lt;F128,J96,D129)</f>
        <v>1963</v>
      </c>
      <c r="F129" s="163">
        <f t="shared" si="30"/>
        <v>28618</v>
      </c>
      <c r="G129" s="163">
        <f t="shared" si="31"/>
        <v>29599.5</v>
      </c>
      <c r="H129" s="167">
        <f t="shared" si="32"/>
        <v>5003.9214102933583</v>
      </c>
      <c r="I129" s="317">
        <f t="shared" si="33"/>
        <v>5003.9214102933583</v>
      </c>
      <c r="J129" s="162">
        <f t="shared" si="20"/>
        <v>0</v>
      </c>
      <c r="K129" s="162"/>
      <c r="L129" s="335"/>
      <c r="M129" s="162">
        <f t="shared" si="21"/>
        <v>0</v>
      </c>
      <c r="N129" s="335"/>
      <c r="O129" s="162">
        <f t="shared" si="22"/>
        <v>0</v>
      </c>
      <c r="P129" s="162">
        <f t="shared" si="23"/>
        <v>0</v>
      </c>
    </row>
    <row r="130" spans="2:16">
      <c r="B130" s="9" t="str">
        <f t="shared" si="24"/>
        <v/>
      </c>
      <c r="C130" s="157">
        <f>IF(D93="","-",+C129+1)</f>
        <v>2038</v>
      </c>
      <c r="D130" s="158">
        <f>IF(F129+SUM(E$99:E129)=D$92,F129,D$92-SUM(E$99:E129))</f>
        <v>28618</v>
      </c>
      <c r="E130" s="165">
        <f>IF(+J96&lt;F129,J96,D130)</f>
        <v>1963</v>
      </c>
      <c r="F130" s="163">
        <f t="shared" ref="F130:F153" si="34">+D130-E130</f>
        <v>26655</v>
      </c>
      <c r="G130" s="163">
        <f t="shared" ref="G130:G153" si="35">+(F130+D130)/2</f>
        <v>27636.5</v>
      </c>
      <c r="H130" s="167">
        <f t="shared" si="32"/>
        <v>4802.2514926121185</v>
      </c>
      <c r="I130" s="317">
        <f t="shared" si="33"/>
        <v>4802.2514926121185</v>
      </c>
      <c r="J130" s="162">
        <f t="shared" si="20"/>
        <v>0</v>
      </c>
      <c r="K130" s="162"/>
      <c r="L130" s="335"/>
      <c r="M130" s="162">
        <f t="shared" si="21"/>
        <v>0</v>
      </c>
      <c r="N130" s="335"/>
      <c r="O130" s="162">
        <f t="shared" si="22"/>
        <v>0</v>
      </c>
      <c r="P130" s="162">
        <f t="shared" si="23"/>
        <v>0</v>
      </c>
    </row>
    <row r="131" spans="2:16">
      <c r="B131" s="9" t="str">
        <f t="shared" si="24"/>
        <v/>
      </c>
      <c r="C131" s="157">
        <f>IF(D93="","-",+C130+1)</f>
        <v>2039</v>
      </c>
      <c r="D131" s="158">
        <f>IF(F130+SUM(E$99:E130)=D$92,F130,D$92-SUM(E$99:E130))</f>
        <v>26655</v>
      </c>
      <c r="E131" s="165">
        <f>IF(+J96&lt;F130,J96,D131)</f>
        <v>1963</v>
      </c>
      <c r="F131" s="163">
        <f t="shared" si="34"/>
        <v>24692</v>
      </c>
      <c r="G131" s="163">
        <f t="shared" si="35"/>
        <v>25673.5</v>
      </c>
      <c r="H131" s="167">
        <f t="shared" si="32"/>
        <v>4600.5815749308786</v>
      </c>
      <c r="I131" s="317">
        <f t="shared" si="33"/>
        <v>4600.5815749308786</v>
      </c>
      <c r="J131" s="162">
        <f t="shared" ref="J131:J154" si="36">+I382-H382</f>
        <v>0</v>
      </c>
      <c r="K131" s="162"/>
      <c r="L131" s="335"/>
      <c r="M131" s="162">
        <f t="shared" ref="M131:M154" si="37">IF(L382&lt;&gt;0,+H382-L382,0)</f>
        <v>0</v>
      </c>
      <c r="N131" s="335"/>
      <c r="O131" s="162">
        <f t="shared" ref="O131:O154" si="38">IF(N382&lt;&gt;0,+I382-N382,0)</f>
        <v>0</v>
      </c>
      <c r="P131" s="162">
        <f t="shared" ref="P131:P154" si="39">+O382-M382</f>
        <v>0</v>
      </c>
    </row>
    <row r="132" spans="2:16">
      <c r="B132" s="9" t="str">
        <f t="shared" si="24"/>
        <v/>
      </c>
      <c r="C132" s="157">
        <f>IF(D93="","-",+C131+1)</f>
        <v>2040</v>
      </c>
      <c r="D132" s="158">
        <f>IF(F131+SUM(E$99:E131)=D$92,F131,D$92-SUM(E$99:E131))</f>
        <v>24692</v>
      </c>
      <c r="E132" s="165">
        <f>IF(+J96&lt;F131,J96,D132)</f>
        <v>1963</v>
      </c>
      <c r="F132" s="163">
        <f t="shared" si="34"/>
        <v>22729</v>
      </c>
      <c r="G132" s="163">
        <f t="shared" si="35"/>
        <v>23710.5</v>
      </c>
      <c r="H132" s="167">
        <f t="shared" si="32"/>
        <v>4398.9116572496387</v>
      </c>
      <c r="I132" s="317">
        <f t="shared" si="33"/>
        <v>4398.9116572496387</v>
      </c>
      <c r="J132" s="162">
        <f t="shared" si="36"/>
        <v>0</v>
      </c>
      <c r="K132" s="162"/>
      <c r="L132" s="335"/>
      <c r="M132" s="162">
        <f t="shared" si="37"/>
        <v>0</v>
      </c>
      <c r="N132" s="335"/>
      <c r="O132" s="162">
        <f t="shared" si="38"/>
        <v>0</v>
      </c>
      <c r="P132" s="162">
        <f t="shared" si="39"/>
        <v>0</v>
      </c>
    </row>
    <row r="133" spans="2:16">
      <c r="B133" s="9" t="str">
        <f t="shared" si="24"/>
        <v/>
      </c>
      <c r="C133" s="157">
        <f>IF(D93="","-",+C132+1)</f>
        <v>2041</v>
      </c>
      <c r="D133" s="158">
        <f>IF(F132+SUM(E$99:E132)=D$92,F132,D$92-SUM(E$99:E132))</f>
        <v>22729</v>
      </c>
      <c r="E133" s="165">
        <f>IF(+J96&lt;F132,J96,D133)</f>
        <v>1963</v>
      </c>
      <c r="F133" s="163">
        <f t="shared" si="34"/>
        <v>20766</v>
      </c>
      <c r="G133" s="163">
        <f t="shared" si="35"/>
        <v>21747.5</v>
      </c>
      <c r="H133" s="167">
        <f t="shared" si="32"/>
        <v>4197.2417395683988</v>
      </c>
      <c r="I133" s="317">
        <f t="shared" si="33"/>
        <v>4197.2417395683988</v>
      </c>
      <c r="J133" s="162">
        <f t="shared" si="36"/>
        <v>0</v>
      </c>
      <c r="K133" s="162"/>
      <c r="L133" s="335"/>
      <c r="M133" s="162">
        <f t="shared" si="37"/>
        <v>0</v>
      </c>
      <c r="N133" s="335"/>
      <c r="O133" s="162">
        <f t="shared" si="38"/>
        <v>0</v>
      </c>
      <c r="P133" s="162">
        <f t="shared" si="39"/>
        <v>0</v>
      </c>
    </row>
    <row r="134" spans="2:16">
      <c r="B134" s="9" t="str">
        <f t="shared" si="24"/>
        <v/>
      </c>
      <c r="C134" s="157">
        <f>IF(D93="","-",+C133+1)</f>
        <v>2042</v>
      </c>
      <c r="D134" s="158">
        <f>IF(F133+SUM(E$99:E133)=D$92,F133,D$92-SUM(E$99:E133))</f>
        <v>20766</v>
      </c>
      <c r="E134" s="165">
        <f>IF(+J96&lt;F133,J96,D134)</f>
        <v>1963</v>
      </c>
      <c r="F134" s="163">
        <f t="shared" si="34"/>
        <v>18803</v>
      </c>
      <c r="G134" s="163">
        <f t="shared" si="35"/>
        <v>19784.5</v>
      </c>
      <c r="H134" s="167">
        <f t="shared" si="32"/>
        <v>3995.5718218871589</v>
      </c>
      <c r="I134" s="317">
        <f t="shared" si="33"/>
        <v>3995.5718218871589</v>
      </c>
      <c r="J134" s="162">
        <f t="shared" si="36"/>
        <v>0</v>
      </c>
      <c r="K134" s="162"/>
      <c r="L134" s="335"/>
      <c r="M134" s="162">
        <f t="shared" si="37"/>
        <v>0</v>
      </c>
      <c r="N134" s="335"/>
      <c r="O134" s="162">
        <f t="shared" si="38"/>
        <v>0</v>
      </c>
      <c r="P134" s="162">
        <f t="shared" si="39"/>
        <v>0</v>
      </c>
    </row>
    <row r="135" spans="2:16">
      <c r="B135" s="9" t="str">
        <f t="shared" si="24"/>
        <v/>
      </c>
      <c r="C135" s="157">
        <f>IF(D93="","-",+C134+1)</f>
        <v>2043</v>
      </c>
      <c r="D135" s="158">
        <f>IF(F134+SUM(E$99:E134)=D$92,F134,D$92-SUM(E$99:E134))</f>
        <v>18803</v>
      </c>
      <c r="E135" s="165">
        <f>IF(+J96&lt;F134,J96,D135)</f>
        <v>1963</v>
      </c>
      <c r="F135" s="163">
        <f t="shared" si="34"/>
        <v>16840</v>
      </c>
      <c r="G135" s="163">
        <f t="shared" si="35"/>
        <v>17821.5</v>
      </c>
      <c r="H135" s="167">
        <f t="shared" si="32"/>
        <v>3793.901904205919</v>
      </c>
      <c r="I135" s="317">
        <f t="shared" si="33"/>
        <v>3793.901904205919</v>
      </c>
      <c r="J135" s="162">
        <f t="shared" si="36"/>
        <v>0</v>
      </c>
      <c r="K135" s="162"/>
      <c r="L135" s="335"/>
      <c r="M135" s="162">
        <f t="shared" si="37"/>
        <v>0</v>
      </c>
      <c r="N135" s="335"/>
      <c r="O135" s="162">
        <f t="shared" si="38"/>
        <v>0</v>
      </c>
      <c r="P135" s="162">
        <f t="shared" si="39"/>
        <v>0</v>
      </c>
    </row>
    <row r="136" spans="2:16">
      <c r="B136" s="9" t="str">
        <f t="shared" si="24"/>
        <v/>
      </c>
      <c r="C136" s="157">
        <f>IF(D93="","-",+C135+1)</f>
        <v>2044</v>
      </c>
      <c r="D136" s="158">
        <f>IF(F135+SUM(E$99:E135)=D$92,F135,D$92-SUM(E$99:E135))</f>
        <v>16840</v>
      </c>
      <c r="E136" s="165">
        <f>IF(+J96&lt;F135,J96,D136)</f>
        <v>1963</v>
      </c>
      <c r="F136" s="163">
        <f t="shared" si="34"/>
        <v>14877</v>
      </c>
      <c r="G136" s="163">
        <f t="shared" si="35"/>
        <v>15858.5</v>
      </c>
      <c r="H136" s="167">
        <f t="shared" si="32"/>
        <v>3592.2319865246791</v>
      </c>
      <c r="I136" s="317">
        <f t="shared" si="33"/>
        <v>3592.2319865246791</v>
      </c>
      <c r="J136" s="162">
        <f t="shared" si="36"/>
        <v>0</v>
      </c>
      <c r="K136" s="162"/>
      <c r="L136" s="335"/>
      <c r="M136" s="162">
        <f t="shared" si="37"/>
        <v>0</v>
      </c>
      <c r="N136" s="335"/>
      <c r="O136" s="162">
        <f t="shared" si="38"/>
        <v>0</v>
      </c>
      <c r="P136" s="162">
        <f t="shared" si="39"/>
        <v>0</v>
      </c>
    </row>
    <row r="137" spans="2:16">
      <c r="B137" s="9" t="str">
        <f t="shared" si="24"/>
        <v/>
      </c>
      <c r="C137" s="157">
        <f>IF(D93="","-",+C136+1)</f>
        <v>2045</v>
      </c>
      <c r="D137" s="158">
        <f>IF(F136+SUM(E$99:E136)=D$92,F136,D$92-SUM(E$99:E136))</f>
        <v>14877</v>
      </c>
      <c r="E137" s="165">
        <f>IF(+J96&lt;F136,J96,D137)</f>
        <v>1963</v>
      </c>
      <c r="F137" s="163">
        <f t="shared" si="34"/>
        <v>12914</v>
      </c>
      <c r="G137" s="163">
        <f t="shared" si="35"/>
        <v>13895.5</v>
      </c>
      <c r="H137" s="167">
        <f t="shared" si="32"/>
        <v>3390.5620688434387</v>
      </c>
      <c r="I137" s="317">
        <f t="shared" si="33"/>
        <v>3390.5620688434387</v>
      </c>
      <c r="J137" s="162">
        <f t="shared" si="36"/>
        <v>0</v>
      </c>
      <c r="K137" s="162"/>
      <c r="L137" s="335"/>
      <c r="M137" s="162">
        <f t="shared" si="37"/>
        <v>0</v>
      </c>
      <c r="N137" s="335"/>
      <c r="O137" s="162">
        <f t="shared" si="38"/>
        <v>0</v>
      </c>
      <c r="P137" s="162">
        <f t="shared" si="39"/>
        <v>0</v>
      </c>
    </row>
    <row r="138" spans="2:16">
      <c r="B138" s="9" t="str">
        <f t="shared" si="24"/>
        <v/>
      </c>
      <c r="C138" s="157">
        <f>IF(D93="","-",+C137+1)</f>
        <v>2046</v>
      </c>
      <c r="D138" s="158">
        <f>IF(F137+SUM(E$99:E137)=D$92,F137,D$92-SUM(E$99:E137))</f>
        <v>12914</v>
      </c>
      <c r="E138" s="165">
        <f>IF(+J96&lt;F137,J96,D138)</f>
        <v>1963</v>
      </c>
      <c r="F138" s="163">
        <f t="shared" si="34"/>
        <v>10951</v>
      </c>
      <c r="G138" s="163">
        <f t="shared" si="35"/>
        <v>11932.5</v>
      </c>
      <c r="H138" s="167">
        <f t="shared" si="32"/>
        <v>3188.8921511621988</v>
      </c>
      <c r="I138" s="317">
        <f t="shared" si="33"/>
        <v>3188.8921511621988</v>
      </c>
      <c r="J138" s="162">
        <f t="shared" si="36"/>
        <v>0</v>
      </c>
      <c r="K138" s="162"/>
      <c r="L138" s="335"/>
      <c r="M138" s="162">
        <f t="shared" si="37"/>
        <v>0</v>
      </c>
      <c r="N138" s="335"/>
      <c r="O138" s="162">
        <f t="shared" si="38"/>
        <v>0</v>
      </c>
      <c r="P138" s="162">
        <f t="shared" si="39"/>
        <v>0</v>
      </c>
    </row>
    <row r="139" spans="2:16">
      <c r="B139" s="9" t="str">
        <f t="shared" si="24"/>
        <v/>
      </c>
      <c r="C139" s="157">
        <f>IF(D93="","-",+C138+1)</f>
        <v>2047</v>
      </c>
      <c r="D139" s="158">
        <f>IF(F138+SUM(E$99:E138)=D$92,F138,D$92-SUM(E$99:E138))</f>
        <v>10951</v>
      </c>
      <c r="E139" s="165">
        <f>IF(+J96&lt;F138,J96,D139)</f>
        <v>1963</v>
      </c>
      <c r="F139" s="163">
        <f t="shared" si="34"/>
        <v>8988</v>
      </c>
      <c r="G139" s="163">
        <f t="shared" si="35"/>
        <v>9969.5</v>
      </c>
      <c r="H139" s="167">
        <f t="shared" si="32"/>
        <v>2987.2222334809585</v>
      </c>
      <c r="I139" s="317">
        <f t="shared" si="33"/>
        <v>2987.2222334809585</v>
      </c>
      <c r="J139" s="162">
        <f t="shared" si="36"/>
        <v>0</v>
      </c>
      <c r="K139" s="162"/>
      <c r="L139" s="335"/>
      <c r="M139" s="162">
        <f t="shared" si="37"/>
        <v>0</v>
      </c>
      <c r="N139" s="335"/>
      <c r="O139" s="162">
        <f t="shared" si="38"/>
        <v>0</v>
      </c>
      <c r="P139" s="162">
        <f t="shared" si="39"/>
        <v>0</v>
      </c>
    </row>
    <row r="140" spans="2:16">
      <c r="B140" s="9" t="str">
        <f t="shared" si="24"/>
        <v/>
      </c>
      <c r="C140" s="157">
        <f>IF(D93="","-",+C139+1)</f>
        <v>2048</v>
      </c>
      <c r="D140" s="158">
        <f>IF(F139+SUM(E$99:E139)=D$92,F139,D$92-SUM(E$99:E139))</f>
        <v>8988</v>
      </c>
      <c r="E140" s="165">
        <f>IF(+J96&lt;F139,J96,D140)</f>
        <v>1963</v>
      </c>
      <c r="F140" s="163">
        <f t="shared" si="34"/>
        <v>7025</v>
      </c>
      <c r="G140" s="163">
        <f t="shared" si="35"/>
        <v>8006.5</v>
      </c>
      <c r="H140" s="167">
        <f t="shared" si="32"/>
        <v>2785.5523157997186</v>
      </c>
      <c r="I140" s="317">
        <f t="shared" si="33"/>
        <v>2785.5523157997186</v>
      </c>
      <c r="J140" s="162">
        <f t="shared" si="36"/>
        <v>0</v>
      </c>
      <c r="K140" s="162"/>
      <c r="L140" s="335"/>
      <c r="M140" s="162">
        <f t="shared" si="37"/>
        <v>0</v>
      </c>
      <c r="N140" s="335"/>
      <c r="O140" s="162">
        <f t="shared" si="38"/>
        <v>0</v>
      </c>
      <c r="P140" s="162">
        <f t="shared" si="39"/>
        <v>0</v>
      </c>
    </row>
    <row r="141" spans="2:16">
      <c r="B141" s="9" t="str">
        <f t="shared" si="24"/>
        <v/>
      </c>
      <c r="C141" s="157">
        <f>IF(D93="","-",+C140+1)</f>
        <v>2049</v>
      </c>
      <c r="D141" s="158">
        <f>IF(F140+SUM(E$99:E140)=D$92,F140,D$92-SUM(E$99:E140))</f>
        <v>7025</v>
      </c>
      <c r="E141" s="165">
        <f>IF(+J96&lt;F140,J96,D141)</f>
        <v>1963</v>
      </c>
      <c r="F141" s="163">
        <f t="shared" si="34"/>
        <v>5062</v>
      </c>
      <c r="G141" s="163">
        <f t="shared" si="35"/>
        <v>6043.5</v>
      </c>
      <c r="H141" s="167">
        <f t="shared" si="32"/>
        <v>2583.8823981184787</v>
      </c>
      <c r="I141" s="317">
        <f t="shared" si="33"/>
        <v>2583.8823981184787</v>
      </c>
      <c r="J141" s="162">
        <f t="shared" si="36"/>
        <v>0</v>
      </c>
      <c r="K141" s="162"/>
      <c r="L141" s="335"/>
      <c r="M141" s="162">
        <f t="shared" si="37"/>
        <v>0</v>
      </c>
      <c r="N141" s="335"/>
      <c r="O141" s="162">
        <f t="shared" si="38"/>
        <v>0</v>
      </c>
      <c r="P141" s="162">
        <f t="shared" si="39"/>
        <v>0</v>
      </c>
    </row>
    <row r="142" spans="2:16">
      <c r="B142" s="9" t="str">
        <f t="shared" si="24"/>
        <v/>
      </c>
      <c r="C142" s="157">
        <f>IF(D93="","-",+C141+1)</f>
        <v>2050</v>
      </c>
      <c r="D142" s="158">
        <f>IF(F141+SUM(E$99:E141)=D$92,F141,D$92-SUM(E$99:E141))</f>
        <v>5062</v>
      </c>
      <c r="E142" s="165">
        <f>IF(+J96&lt;F141,J96,D142)</f>
        <v>1963</v>
      </c>
      <c r="F142" s="163">
        <f t="shared" si="34"/>
        <v>3099</v>
      </c>
      <c r="G142" s="163">
        <f t="shared" si="35"/>
        <v>4080.5</v>
      </c>
      <c r="H142" s="167">
        <f t="shared" si="32"/>
        <v>2382.2124804372388</v>
      </c>
      <c r="I142" s="317">
        <f t="shared" si="33"/>
        <v>2382.2124804372388</v>
      </c>
      <c r="J142" s="162">
        <f t="shared" si="36"/>
        <v>0</v>
      </c>
      <c r="K142" s="162"/>
      <c r="L142" s="335"/>
      <c r="M142" s="162">
        <f t="shared" si="37"/>
        <v>0</v>
      </c>
      <c r="N142" s="335"/>
      <c r="O142" s="162">
        <f t="shared" si="38"/>
        <v>0</v>
      </c>
      <c r="P142" s="162">
        <f t="shared" si="39"/>
        <v>0</v>
      </c>
    </row>
    <row r="143" spans="2:16">
      <c r="B143" s="9" t="str">
        <f t="shared" si="24"/>
        <v/>
      </c>
      <c r="C143" s="157">
        <f>IF(D93="","-",+C142+1)</f>
        <v>2051</v>
      </c>
      <c r="D143" s="158">
        <f>IF(F142+SUM(E$99:E142)=D$92,F142,D$92-SUM(E$99:E142))</f>
        <v>3099</v>
      </c>
      <c r="E143" s="165">
        <f>IF(+J96&lt;F142,J96,D143)</f>
        <v>1963</v>
      </c>
      <c r="F143" s="163">
        <f t="shared" si="34"/>
        <v>1136</v>
      </c>
      <c r="G143" s="163">
        <f t="shared" si="35"/>
        <v>2117.5</v>
      </c>
      <c r="H143" s="167">
        <f t="shared" si="32"/>
        <v>2180.5425627559989</v>
      </c>
      <c r="I143" s="317">
        <f t="shared" si="33"/>
        <v>2180.5425627559989</v>
      </c>
      <c r="J143" s="162">
        <f t="shared" si="36"/>
        <v>0</v>
      </c>
      <c r="K143" s="162"/>
      <c r="L143" s="335"/>
      <c r="M143" s="162">
        <f t="shared" si="37"/>
        <v>0</v>
      </c>
      <c r="N143" s="335"/>
      <c r="O143" s="162">
        <f t="shared" si="38"/>
        <v>0</v>
      </c>
      <c r="P143" s="162">
        <f t="shared" si="39"/>
        <v>0</v>
      </c>
    </row>
    <row r="144" spans="2:16">
      <c r="B144" s="9" t="str">
        <f t="shared" si="24"/>
        <v/>
      </c>
      <c r="C144" s="157">
        <f>IF(D93="","-",+C143+1)</f>
        <v>2052</v>
      </c>
      <c r="D144" s="158">
        <f>IF(F143+SUM(E$99:E143)=D$92,F143,D$92-SUM(E$99:E143))</f>
        <v>1136</v>
      </c>
      <c r="E144" s="165">
        <f>IF(+J96&lt;F143,J96,D144)</f>
        <v>1136</v>
      </c>
      <c r="F144" s="163">
        <f t="shared" si="34"/>
        <v>0</v>
      </c>
      <c r="G144" s="163">
        <f t="shared" si="35"/>
        <v>568</v>
      </c>
      <c r="H144" s="167">
        <f t="shared" si="32"/>
        <v>1194.3538019576895</v>
      </c>
      <c r="I144" s="317">
        <f t="shared" si="33"/>
        <v>1194.3538019576895</v>
      </c>
      <c r="J144" s="162">
        <f t="shared" si="36"/>
        <v>0</v>
      </c>
      <c r="K144" s="162"/>
      <c r="L144" s="335"/>
      <c r="M144" s="162">
        <f t="shared" si="37"/>
        <v>0</v>
      </c>
      <c r="N144" s="335"/>
      <c r="O144" s="162">
        <f t="shared" si="38"/>
        <v>0</v>
      </c>
      <c r="P144" s="162">
        <f t="shared" si="39"/>
        <v>0</v>
      </c>
    </row>
    <row r="145" spans="2:16">
      <c r="B145" s="9" t="str">
        <f t="shared" si="24"/>
        <v/>
      </c>
      <c r="C145" s="157">
        <f>IF(D93="","-",+C144+1)</f>
        <v>2053</v>
      </c>
      <c r="D145" s="158">
        <f>IF(F144+SUM(E$99:E144)=D$92,F144,D$92-SUM(E$99:E144))</f>
        <v>0</v>
      </c>
      <c r="E145" s="165">
        <f>IF(+J96&lt;F144,J96,D145)</f>
        <v>0</v>
      </c>
      <c r="F145" s="163">
        <f t="shared" si="34"/>
        <v>0</v>
      </c>
      <c r="G145" s="163">
        <f t="shared" si="35"/>
        <v>0</v>
      </c>
      <c r="H145" s="167">
        <f t="shared" si="32"/>
        <v>0</v>
      </c>
      <c r="I145" s="317">
        <f t="shared" si="33"/>
        <v>0</v>
      </c>
      <c r="J145" s="162">
        <f t="shared" si="36"/>
        <v>0</v>
      </c>
      <c r="K145" s="162"/>
      <c r="L145" s="335"/>
      <c r="M145" s="162">
        <f t="shared" si="37"/>
        <v>0</v>
      </c>
      <c r="N145" s="335"/>
      <c r="O145" s="162">
        <f t="shared" si="38"/>
        <v>0</v>
      </c>
      <c r="P145" s="162">
        <f t="shared" si="39"/>
        <v>0</v>
      </c>
    </row>
    <row r="146" spans="2:16">
      <c r="B146" s="9" t="str">
        <f t="shared" si="24"/>
        <v/>
      </c>
      <c r="C146" s="157">
        <f>IF(D93="","-",+C145+1)</f>
        <v>2054</v>
      </c>
      <c r="D146" s="158">
        <f>IF(F145+SUM(E$99:E145)=D$92,F145,D$92-SUM(E$99:E145))</f>
        <v>0</v>
      </c>
      <c r="E146" s="165">
        <f>IF(+J96&lt;F145,J96,D146)</f>
        <v>0</v>
      </c>
      <c r="F146" s="163">
        <f t="shared" si="34"/>
        <v>0</v>
      </c>
      <c r="G146" s="163">
        <f t="shared" si="35"/>
        <v>0</v>
      </c>
      <c r="H146" s="167">
        <f t="shared" si="32"/>
        <v>0</v>
      </c>
      <c r="I146" s="317">
        <f t="shared" si="33"/>
        <v>0</v>
      </c>
      <c r="J146" s="162">
        <f t="shared" si="36"/>
        <v>0</v>
      </c>
      <c r="K146" s="162"/>
      <c r="L146" s="335"/>
      <c r="M146" s="162">
        <f t="shared" si="37"/>
        <v>0</v>
      </c>
      <c r="N146" s="335"/>
      <c r="O146" s="162">
        <f t="shared" si="38"/>
        <v>0</v>
      </c>
      <c r="P146" s="162">
        <f t="shared" si="39"/>
        <v>0</v>
      </c>
    </row>
    <row r="147" spans="2:16">
      <c r="B147" s="9" t="str">
        <f t="shared" si="24"/>
        <v/>
      </c>
      <c r="C147" s="157">
        <f>IF(D93="","-",+C146+1)</f>
        <v>2055</v>
      </c>
      <c r="D147" s="158">
        <f>IF(F146+SUM(E$99:E146)=D$92,F146,D$92-SUM(E$99:E146))</f>
        <v>0</v>
      </c>
      <c r="E147" s="165">
        <f>IF(+J96&lt;F146,J96,D147)</f>
        <v>0</v>
      </c>
      <c r="F147" s="163">
        <f t="shared" si="34"/>
        <v>0</v>
      </c>
      <c r="G147" s="163">
        <f t="shared" si="35"/>
        <v>0</v>
      </c>
      <c r="H147" s="167">
        <f t="shared" si="32"/>
        <v>0</v>
      </c>
      <c r="I147" s="317">
        <f t="shared" si="33"/>
        <v>0</v>
      </c>
      <c r="J147" s="162">
        <f t="shared" si="36"/>
        <v>0</v>
      </c>
      <c r="K147" s="162"/>
      <c r="L147" s="335"/>
      <c r="M147" s="162">
        <f t="shared" si="37"/>
        <v>0</v>
      </c>
      <c r="N147" s="335"/>
      <c r="O147" s="162">
        <f t="shared" si="38"/>
        <v>0</v>
      </c>
      <c r="P147" s="162">
        <f t="shared" si="39"/>
        <v>0</v>
      </c>
    </row>
    <row r="148" spans="2:16">
      <c r="B148" s="9" t="str">
        <f t="shared" si="24"/>
        <v/>
      </c>
      <c r="C148" s="157">
        <f>IF(D93="","-",+C147+1)</f>
        <v>2056</v>
      </c>
      <c r="D148" s="158">
        <f>IF(F147+SUM(E$99:E147)=D$92,F147,D$92-SUM(E$99:E147))</f>
        <v>0</v>
      </c>
      <c r="E148" s="165">
        <f>IF(+J96&lt;F147,J96,D148)</f>
        <v>0</v>
      </c>
      <c r="F148" s="163">
        <f t="shared" si="34"/>
        <v>0</v>
      </c>
      <c r="G148" s="163">
        <f t="shared" si="35"/>
        <v>0</v>
      </c>
      <c r="H148" s="167">
        <f t="shared" si="32"/>
        <v>0</v>
      </c>
      <c r="I148" s="317">
        <f t="shared" si="33"/>
        <v>0</v>
      </c>
      <c r="J148" s="162">
        <f t="shared" si="36"/>
        <v>0</v>
      </c>
      <c r="K148" s="162"/>
      <c r="L148" s="335"/>
      <c r="M148" s="162">
        <f t="shared" si="37"/>
        <v>0</v>
      </c>
      <c r="N148" s="335"/>
      <c r="O148" s="162">
        <f t="shared" si="38"/>
        <v>0</v>
      </c>
      <c r="P148" s="162">
        <f t="shared" si="39"/>
        <v>0</v>
      </c>
    </row>
    <row r="149" spans="2:16">
      <c r="B149" s="9" t="str">
        <f t="shared" si="24"/>
        <v/>
      </c>
      <c r="C149" s="157">
        <f>IF(D93="","-",+C148+1)</f>
        <v>2057</v>
      </c>
      <c r="D149" s="158">
        <f>IF(F148+SUM(E$99:E148)=D$92,F148,D$92-SUM(E$99:E148))</f>
        <v>0</v>
      </c>
      <c r="E149" s="165">
        <f>IF(+J96&lt;F148,J96,D149)</f>
        <v>0</v>
      </c>
      <c r="F149" s="163">
        <f t="shared" si="34"/>
        <v>0</v>
      </c>
      <c r="G149" s="163">
        <f t="shared" si="35"/>
        <v>0</v>
      </c>
      <c r="H149" s="167">
        <f t="shared" si="32"/>
        <v>0</v>
      </c>
      <c r="I149" s="317">
        <f t="shared" si="33"/>
        <v>0</v>
      </c>
      <c r="J149" s="162">
        <f t="shared" si="36"/>
        <v>0</v>
      </c>
      <c r="K149" s="162"/>
      <c r="L149" s="335"/>
      <c r="M149" s="162">
        <f t="shared" si="37"/>
        <v>0</v>
      </c>
      <c r="N149" s="335"/>
      <c r="O149" s="162">
        <f t="shared" si="38"/>
        <v>0</v>
      </c>
      <c r="P149" s="162">
        <f t="shared" si="39"/>
        <v>0</v>
      </c>
    </row>
    <row r="150" spans="2:16">
      <c r="B150" s="9" t="str">
        <f t="shared" si="24"/>
        <v/>
      </c>
      <c r="C150" s="157">
        <f>IF(D93="","-",+C149+1)</f>
        <v>2058</v>
      </c>
      <c r="D150" s="158">
        <f>IF(F149+SUM(E$99:E149)=D$92,F149,D$92-SUM(E$99:E149))</f>
        <v>0</v>
      </c>
      <c r="E150" s="165">
        <f>IF(+J96&lt;F149,J96,D150)</f>
        <v>0</v>
      </c>
      <c r="F150" s="163">
        <f t="shared" si="34"/>
        <v>0</v>
      </c>
      <c r="G150" s="163">
        <f t="shared" si="35"/>
        <v>0</v>
      </c>
      <c r="H150" s="167">
        <f t="shared" si="32"/>
        <v>0</v>
      </c>
      <c r="I150" s="317">
        <f t="shared" si="33"/>
        <v>0</v>
      </c>
      <c r="J150" s="162">
        <f t="shared" si="36"/>
        <v>0</v>
      </c>
      <c r="K150" s="162"/>
      <c r="L150" s="335"/>
      <c r="M150" s="162">
        <f t="shared" si="37"/>
        <v>0</v>
      </c>
      <c r="N150" s="335"/>
      <c r="O150" s="162">
        <f t="shared" si="38"/>
        <v>0</v>
      </c>
      <c r="P150" s="162">
        <f t="shared" si="39"/>
        <v>0</v>
      </c>
    </row>
    <row r="151" spans="2:16">
      <c r="B151" s="9" t="str">
        <f t="shared" si="24"/>
        <v/>
      </c>
      <c r="C151" s="157">
        <f>IF(D93="","-",+C150+1)</f>
        <v>2059</v>
      </c>
      <c r="D151" s="158">
        <f>IF(F150+SUM(E$99:E150)=D$92,F150,D$92-SUM(E$99:E150))</f>
        <v>0</v>
      </c>
      <c r="E151" s="165">
        <f>IF(+J96&lt;F150,J96,D151)</f>
        <v>0</v>
      </c>
      <c r="F151" s="163">
        <f t="shared" si="34"/>
        <v>0</v>
      </c>
      <c r="G151" s="163">
        <f t="shared" si="35"/>
        <v>0</v>
      </c>
      <c r="H151" s="167">
        <f t="shared" si="32"/>
        <v>0</v>
      </c>
      <c r="I151" s="317">
        <f t="shared" si="33"/>
        <v>0</v>
      </c>
      <c r="J151" s="162">
        <f t="shared" si="36"/>
        <v>0</v>
      </c>
      <c r="K151" s="162"/>
      <c r="L151" s="335"/>
      <c r="M151" s="162">
        <f t="shared" si="37"/>
        <v>0</v>
      </c>
      <c r="N151" s="335"/>
      <c r="O151" s="162">
        <f t="shared" si="38"/>
        <v>0</v>
      </c>
      <c r="P151" s="162">
        <f t="shared" si="39"/>
        <v>0</v>
      </c>
    </row>
    <row r="152" spans="2:16">
      <c r="B152" s="9" t="str">
        <f t="shared" si="24"/>
        <v/>
      </c>
      <c r="C152" s="157">
        <f>IF(D93="","-",+C151+1)</f>
        <v>2060</v>
      </c>
      <c r="D152" s="158">
        <f>IF(F151+SUM(E$99:E151)=D$92,F151,D$92-SUM(E$99:E151))</f>
        <v>0</v>
      </c>
      <c r="E152" s="165">
        <f>IF(+J96&lt;F151,J96,D152)</f>
        <v>0</v>
      </c>
      <c r="F152" s="163">
        <f t="shared" si="34"/>
        <v>0</v>
      </c>
      <c r="G152" s="163">
        <f t="shared" si="35"/>
        <v>0</v>
      </c>
      <c r="H152" s="167">
        <f t="shared" si="32"/>
        <v>0</v>
      </c>
      <c r="I152" s="317">
        <f t="shared" si="33"/>
        <v>0</v>
      </c>
      <c r="J152" s="162">
        <f t="shared" si="36"/>
        <v>0</v>
      </c>
      <c r="K152" s="162"/>
      <c r="L152" s="335"/>
      <c r="M152" s="162">
        <f t="shared" si="37"/>
        <v>0</v>
      </c>
      <c r="N152" s="335"/>
      <c r="O152" s="162">
        <f t="shared" si="38"/>
        <v>0</v>
      </c>
      <c r="P152" s="162">
        <f t="shared" si="39"/>
        <v>0</v>
      </c>
    </row>
    <row r="153" spans="2:16">
      <c r="B153" s="9" t="str">
        <f t="shared" si="24"/>
        <v/>
      </c>
      <c r="C153" s="157">
        <f>IF(D93="","-",+C152+1)</f>
        <v>2061</v>
      </c>
      <c r="D153" s="158">
        <f>IF(F152+SUM(E$99:E152)=D$92,F152,D$92-SUM(E$99:E152))</f>
        <v>0</v>
      </c>
      <c r="E153" s="165">
        <f>IF(+J96&lt;F152,J96,D153)</f>
        <v>0</v>
      </c>
      <c r="F153" s="163">
        <f t="shared" si="34"/>
        <v>0</v>
      </c>
      <c r="G153" s="163">
        <f t="shared" si="35"/>
        <v>0</v>
      </c>
      <c r="H153" s="167">
        <f t="shared" si="32"/>
        <v>0</v>
      </c>
      <c r="I153" s="317">
        <f t="shared" si="33"/>
        <v>0</v>
      </c>
      <c r="J153" s="162">
        <f t="shared" si="36"/>
        <v>0</v>
      </c>
      <c r="K153" s="162"/>
      <c r="L153" s="335"/>
      <c r="M153" s="162">
        <f t="shared" si="37"/>
        <v>0</v>
      </c>
      <c r="N153" s="335"/>
      <c r="O153" s="162">
        <f t="shared" si="38"/>
        <v>0</v>
      </c>
      <c r="P153" s="162">
        <f t="shared" si="39"/>
        <v>0</v>
      </c>
    </row>
    <row r="154" spans="2:16" ht="13.5" thickBot="1">
      <c r="B154" s="9" t="str">
        <f t="shared" si="24"/>
        <v/>
      </c>
      <c r="C154" s="168">
        <f>IF(D93="","-",+C153+1)</f>
        <v>2062</v>
      </c>
      <c r="D154" s="219">
        <f>IF(F153+SUM(E$99:E153)=D$92,F153,D$92-SUM(E$99:E153))</f>
        <v>0</v>
      </c>
      <c r="E154" s="377">
        <f>IF(+J96&lt;F153,J96,D154)</f>
        <v>0</v>
      </c>
      <c r="F154" s="169">
        <f>+D154-E154</f>
        <v>0</v>
      </c>
      <c r="G154" s="169">
        <f>+(F154+D154)/2</f>
        <v>0</v>
      </c>
      <c r="H154" s="171">
        <f t="shared" si="32"/>
        <v>0</v>
      </c>
      <c r="I154" s="318">
        <f t="shared" si="33"/>
        <v>0</v>
      </c>
      <c r="J154" s="173">
        <f t="shared" si="36"/>
        <v>0</v>
      </c>
      <c r="K154" s="162"/>
      <c r="L154" s="336"/>
      <c r="M154" s="173">
        <f t="shared" si="37"/>
        <v>0</v>
      </c>
      <c r="N154" s="336"/>
      <c r="O154" s="173">
        <f t="shared" si="38"/>
        <v>0</v>
      </c>
      <c r="P154" s="173">
        <f t="shared" si="39"/>
        <v>0</v>
      </c>
    </row>
    <row r="155" spans="2:16">
      <c r="C155" s="158" t="s">
        <v>72</v>
      </c>
      <c r="D155" s="115"/>
      <c r="E155" s="115">
        <f>SUM(E99:E154)</f>
        <v>84424</v>
      </c>
      <c r="F155" s="115"/>
      <c r="G155" s="115"/>
      <c r="H155" s="115">
        <f>SUM(H99:H154)</f>
        <v>314370.27804333036</v>
      </c>
      <c r="I155" s="115">
        <f>SUM(I99:I154)</f>
        <v>314370.27804333036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143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phoneticPr fontId="0" type="noConversion"/>
  <conditionalFormatting sqref="C17:C72">
    <cfRule type="cellIs" dxfId="48" priority="1" stopIfTrue="1" operator="equal">
      <formula>$I$10</formula>
    </cfRule>
  </conditionalFormatting>
  <conditionalFormatting sqref="C99:C154">
    <cfRule type="cellIs" dxfId="47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6">
    <tabColor rgb="FFC00000"/>
  </sheetPr>
  <dimension ref="A1:P162"/>
  <sheetViews>
    <sheetView view="pageBreakPreview" zoomScale="75" zoomScaleNormal="100" workbookViewId="0">
      <selection activeCell="I21" sqref="I21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"&amp;RIGHT(MID(CELL("filename",$A$1),FIND("]",CELL("filename",$A$1))+1,256),1)&amp;" of "&amp;COUNT('P.001:P.xyz - blank'!$P$3)-1</f>
        <v>PSO Project 8 of 28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275</v>
      </c>
      <c r="L5" s="119"/>
      <c r="M5" s="120"/>
      <c r="N5" s="121">
        <f>VLOOKUP(I10,C17:I72,5)</f>
        <v>5709.7475035377865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276</v>
      </c>
      <c r="L6" s="125"/>
      <c r="M6" s="4"/>
      <c r="N6" s="126">
        <f>VLOOKUP(I10,C17:I72,6)</f>
        <v>5709.7475035377865</v>
      </c>
      <c r="O6" s="1"/>
      <c r="P6" s="1"/>
    </row>
    <row r="7" spans="1:16" ht="13.5" thickBot="1">
      <c r="C7" s="127" t="s">
        <v>41</v>
      </c>
      <c r="D7" s="343" t="s">
        <v>206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 t="str">
        <f>IF(D10&lt;100000,"DOES NOT MEET SPP $100,000 MINIMUM INVESTMENT FOR REGIONAL BPU SHARING.","")</f>
        <v>DOES NOT MEET SPP $100,000 MINIMUM INVESTMENT FOR REGIONAL BPU SHARING.</v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A9" s="107"/>
      <c r="C9" s="133" t="s">
        <v>43</v>
      </c>
      <c r="D9" s="229" t="s">
        <v>82</v>
      </c>
      <c r="E9" s="427" t="s">
        <v>306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56133</v>
      </c>
      <c r="E10" s="64" t="s">
        <v>46</v>
      </c>
      <c r="F10" s="137"/>
      <c r="G10" s="139"/>
      <c r="H10" s="139"/>
      <c r="I10" s="140">
        <f>+PSO.WS.F.BPU.ATRR.Projected!L19</f>
        <v>2020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2006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3</v>
      </c>
      <c r="E12" s="141" t="s">
        <v>51</v>
      </c>
      <c r="F12" s="139"/>
      <c r="G12" s="7"/>
      <c r="H12" s="7"/>
      <c r="I12" s="145">
        <f>PSO.WS.F.BPU.ATRR.Projected!$F$81</f>
        <v>0.10800477690995318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42</v>
      </c>
      <c r="E13" s="141" t="s">
        <v>54</v>
      </c>
      <c r="F13" s="139"/>
      <c r="G13" s="7"/>
      <c r="H13" s="7"/>
      <c r="I13" s="145">
        <f>IF(G5="",I12,PSO.WS.F.BPU.ATRR.Projected!$F$80)</f>
        <v>0.10800477690995318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1336.5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277</v>
      </c>
      <c r="H15" s="362" t="s">
        <v>278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2006</v>
      </c>
      <c r="D17" s="366">
        <v>56133</v>
      </c>
      <c r="E17" s="367">
        <v>752</v>
      </c>
      <c r="F17" s="366">
        <v>55381</v>
      </c>
      <c r="G17" s="367">
        <v>0</v>
      </c>
      <c r="H17" s="370">
        <v>0</v>
      </c>
      <c r="I17" s="160">
        <f t="shared" ref="I17:I48" si="0">H17-G17</f>
        <v>0</v>
      </c>
      <c r="J17" s="160"/>
      <c r="K17" s="337">
        <v>0</v>
      </c>
      <c r="L17" s="161">
        <f t="shared" ref="L17:L48" si="1">IF(K17&lt;&gt;0,+G17-K17,0)</f>
        <v>0</v>
      </c>
      <c r="M17" s="337">
        <v>0</v>
      </c>
      <c r="N17" s="161">
        <f t="shared" ref="N17:N48" si="2">IF(M17&lt;&gt;0,+H17-M17,0)</f>
        <v>0</v>
      </c>
      <c r="O17" s="162">
        <f t="shared" ref="O17:O48" si="3">+N17-L17</f>
        <v>0</v>
      </c>
      <c r="P17" s="4"/>
    </row>
    <row r="18" spans="2:16">
      <c r="B18" s="9" t="str">
        <f>IF(D18=F17,"","IU")</f>
        <v/>
      </c>
      <c r="C18" s="157">
        <f>IF(D11="","-",+C17+1)</f>
        <v>2007</v>
      </c>
      <c r="D18" s="371">
        <v>55381</v>
      </c>
      <c r="E18" s="368">
        <v>1002</v>
      </c>
      <c r="F18" s="371">
        <v>54379</v>
      </c>
      <c r="G18" s="368">
        <v>0</v>
      </c>
      <c r="H18" s="370">
        <v>0</v>
      </c>
      <c r="I18" s="160">
        <f t="shared" si="0"/>
        <v>0</v>
      </c>
      <c r="J18" s="160"/>
      <c r="K18" s="338">
        <v>0</v>
      </c>
      <c r="L18" s="162">
        <f t="shared" si="1"/>
        <v>0</v>
      </c>
      <c r="M18" s="338">
        <v>0</v>
      </c>
      <c r="N18" s="162">
        <f t="shared" si="2"/>
        <v>0</v>
      </c>
      <c r="O18" s="162">
        <f t="shared" si="3"/>
        <v>0</v>
      </c>
      <c r="P18" s="4"/>
    </row>
    <row r="19" spans="2:16">
      <c r="B19" s="9" t="str">
        <f>IF(D19=F18,"","IU")</f>
        <v/>
      </c>
      <c r="C19" s="157">
        <f>IF(D11="","-",+C18+1)</f>
        <v>2008</v>
      </c>
      <c r="D19" s="371">
        <v>54379</v>
      </c>
      <c r="E19" s="368">
        <v>1002</v>
      </c>
      <c r="F19" s="371">
        <v>53377</v>
      </c>
      <c r="G19" s="368">
        <v>0</v>
      </c>
      <c r="H19" s="370">
        <v>0</v>
      </c>
      <c r="I19" s="160">
        <f t="shared" si="0"/>
        <v>0</v>
      </c>
      <c r="J19" s="160"/>
      <c r="K19" s="338">
        <v>0</v>
      </c>
      <c r="L19" s="162">
        <f t="shared" si="1"/>
        <v>0</v>
      </c>
      <c r="M19" s="338">
        <v>0</v>
      </c>
      <c r="N19" s="162">
        <f t="shared" si="2"/>
        <v>0</v>
      </c>
      <c r="O19" s="162">
        <f t="shared" si="3"/>
        <v>0</v>
      </c>
      <c r="P19" s="4"/>
    </row>
    <row r="20" spans="2:16">
      <c r="B20" s="9" t="str">
        <f t="shared" ref="B20:B72" si="4">IF(D20=F19,"","IU")</f>
        <v/>
      </c>
      <c r="C20" s="157">
        <f>IF(D11="","-",+C19+1)</f>
        <v>2009</v>
      </c>
      <c r="D20" s="371">
        <v>53377</v>
      </c>
      <c r="E20" s="368">
        <v>1002</v>
      </c>
      <c r="F20" s="371">
        <v>52375</v>
      </c>
      <c r="G20" s="368">
        <v>0</v>
      </c>
      <c r="H20" s="370">
        <v>0</v>
      </c>
      <c r="I20" s="160">
        <f t="shared" si="0"/>
        <v>0</v>
      </c>
      <c r="J20" s="160"/>
      <c r="K20" s="338">
        <v>0</v>
      </c>
      <c r="L20" s="162">
        <f t="shared" si="1"/>
        <v>0</v>
      </c>
      <c r="M20" s="338">
        <v>0</v>
      </c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4"/>
        <v/>
      </c>
      <c r="C21" s="157">
        <f>IF(D11="","-",+C20+1)</f>
        <v>2010</v>
      </c>
      <c r="D21" s="371">
        <v>52375</v>
      </c>
      <c r="E21" s="368">
        <v>1002.375</v>
      </c>
      <c r="F21" s="371">
        <v>51372.625</v>
      </c>
      <c r="G21" s="368">
        <v>8415.2657154769768</v>
      </c>
      <c r="H21" s="370">
        <v>8415.2657154769768</v>
      </c>
      <c r="I21" s="160">
        <f t="shared" si="0"/>
        <v>0</v>
      </c>
      <c r="J21" s="160"/>
      <c r="K21" s="338">
        <f t="shared" ref="K21:K26" si="5">G21</f>
        <v>8415.2657154769768</v>
      </c>
      <c r="L21" s="272">
        <f t="shared" si="1"/>
        <v>0</v>
      </c>
      <c r="M21" s="338">
        <f t="shared" ref="M21:M26" si="6">H21</f>
        <v>8415.2657154769768</v>
      </c>
      <c r="N21" s="162">
        <f t="shared" si="2"/>
        <v>0</v>
      </c>
      <c r="O21" s="162">
        <f t="shared" si="3"/>
        <v>0</v>
      </c>
      <c r="P21" s="4"/>
    </row>
    <row r="22" spans="2:16">
      <c r="B22" s="9" t="str">
        <f t="shared" si="4"/>
        <v/>
      </c>
      <c r="C22" s="157">
        <f>IF(D11="","-",+C21+1)</f>
        <v>2011</v>
      </c>
      <c r="D22" s="371">
        <v>51372.625</v>
      </c>
      <c r="E22" s="368">
        <v>1100.6470588235295</v>
      </c>
      <c r="F22" s="371">
        <v>50271.977941176468</v>
      </c>
      <c r="G22" s="368">
        <v>8970.3904929935452</v>
      </c>
      <c r="H22" s="370">
        <v>8970.3904929935452</v>
      </c>
      <c r="I22" s="160">
        <f t="shared" si="0"/>
        <v>0</v>
      </c>
      <c r="J22" s="160"/>
      <c r="K22" s="338">
        <f t="shared" si="5"/>
        <v>8970.3904929935452</v>
      </c>
      <c r="L22" s="272">
        <f t="shared" si="1"/>
        <v>0</v>
      </c>
      <c r="M22" s="338">
        <f t="shared" si="6"/>
        <v>8970.3904929935452</v>
      </c>
      <c r="N22" s="162">
        <f t="shared" si="2"/>
        <v>0</v>
      </c>
      <c r="O22" s="162">
        <f t="shared" si="3"/>
        <v>0</v>
      </c>
      <c r="P22" s="4"/>
    </row>
    <row r="23" spans="2:16">
      <c r="B23" s="9" t="str">
        <f t="shared" si="4"/>
        <v/>
      </c>
      <c r="C23" s="157">
        <f>IF(D11="","-",+C22+1)</f>
        <v>2012</v>
      </c>
      <c r="D23" s="371">
        <v>50271.977941176468</v>
      </c>
      <c r="E23" s="368">
        <v>1079.4807692307693</v>
      </c>
      <c r="F23" s="371">
        <v>49192.497171945703</v>
      </c>
      <c r="G23" s="368">
        <v>7927.4076335998161</v>
      </c>
      <c r="H23" s="370">
        <v>7927.4076335998161</v>
      </c>
      <c r="I23" s="160">
        <f t="shared" si="0"/>
        <v>0</v>
      </c>
      <c r="J23" s="160"/>
      <c r="K23" s="338">
        <f t="shared" si="5"/>
        <v>7927.4076335998161</v>
      </c>
      <c r="L23" s="272">
        <f t="shared" si="1"/>
        <v>0</v>
      </c>
      <c r="M23" s="338">
        <f t="shared" si="6"/>
        <v>7927.4076335998161</v>
      </c>
      <c r="N23" s="162">
        <f t="shared" si="2"/>
        <v>0</v>
      </c>
      <c r="O23" s="162">
        <f t="shared" si="3"/>
        <v>0</v>
      </c>
      <c r="P23" s="4"/>
    </row>
    <row r="24" spans="2:16">
      <c r="B24" s="9" t="str">
        <f t="shared" si="4"/>
        <v/>
      </c>
      <c r="C24" s="157">
        <f>IF(D11="","-",+C23+1)</f>
        <v>2013</v>
      </c>
      <c r="D24" s="371">
        <v>49192.497171945703</v>
      </c>
      <c r="E24" s="368">
        <v>1079.4807692307693</v>
      </c>
      <c r="F24" s="371">
        <v>48113.016402714937</v>
      </c>
      <c r="G24" s="368">
        <v>7950.3447729090094</v>
      </c>
      <c r="H24" s="370">
        <v>7950.3447729090094</v>
      </c>
      <c r="I24" s="160">
        <v>0</v>
      </c>
      <c r="J24" s="160"/>
      <c r="K24" s="338">
        <f t="shared" si="5"/>
        <v>7950.3447729090094</v>
      </c>
      <c r="L24" s="272">
        <f t="shared" ref="L24:L29" si="7">IF(K24&lt;&gt;0,+G24-K24,0)</f>
        <v>0</v>
      </c>
      <c r="M24" s="338">
        <f t="shared" si="6"/>
        <v>7950.3447729090094</v>
      </c>
      <c r="N24" s="162">
        <f t="shared" ref="N24:N29" si="8">IF(M24&lt;&gt;0,+H24-M24,0)</f>
        <v>0</v>
      </c>
      <c r="O24" s="162">
        <f t="shared" ref="O24:O29" si="9">+N24-L24</f>
        <v>0</v>
      </c>
      <c r="P24" s="4"/>
    </row>
    <row r="25" spans="2:16">
      <c r="B25" s="9" t="str">
        <f t="shared" si="4"/>
        <v/>
      </c>
      <c r="C25" s="157">
        <f>IF(D11="","-",+C24+1)</f>
        <v>2014</v>
      </c>
      <c r="D25" s="371">
        <v>48113.016402714937</v>
      </c>
      <c r="E25" s="368">
        <v>1079.4807692307693</v>
      </c>
      <c r="F25" s="371">
        <v>47033.535633484171</v>
      </c>
      <c r="G25" s="368">
        <v>7554.0593246775043</v>
      </c>
      <c r="H25" s="370">
        <v>7554.0593246775043</v>
      </c>
      <c r="I25" s="160">
        <v>0</v>
      </c>
      <c r="J25" s="160"/>
      <c r="K25" s="338">
        <f t="shared" si="5"/>
        <v>7554.0593246775043</v>
      </c>
      <c r="L25" s="272">
        <f t="shared" si="7"/>
        <v>0</v>
      </c>
      <c r="M25" s="338">
        <f t="shared" si="6"/>
        <v>7554.0593246775043</v>
      </c>
      <c r="N25" s="162">
        <f t="shared" si="8"/>
        <v>0</v>
      </c>
      <c r="O25" s="162">
        <f t="shared" si="9"/>
        <v>0</v>
      </c>
      <c r="P25" s="4"/>
    </row>
    <row r="26" spans="2:16">
      <c r="B26" s="9" t="str">
        <f t="shared" si="4"/>
        <v/>
      </c>
      <c r="C26" s="157">
        <f>IF(D11="","-",+C25+1)</f>
        <v>2015</v>
      </c>
      <c r="D26" s="371">
        <v>47033.535633484171</v>
      </c>
      <c r="E26" s="368">
        <v>1079.4807692307693</v>
      </c>
      <c r="F26" s="371">
        <v>45954.054864253405</v>
      </c>
      <c r="G26" s="368">
        <v>7415.24244849963</v>
      </c>
      <c r="H26" s="370">
        <v>7415.24244849963</v>
      </c>
      <c r="I26" s="160">
        <v>0</v>
      </c>
      <c r="J26" s="160"/>
      <c r="K26" s="338">
        <f t="shared" si="5"/>
        <v>7415.24244849963</v>
      </c>
      <c r="L26" s="272">
        <f t="shared" si="7"/>
        <v>0</v>
      </c>
      <c r="M26" s="338">
        <f t="shared" si="6"/>
        <v>7415.24244849963</v>
      </c>
      <c r="N26" s="162">
        <f t="shared" si="8"/>
        <v>0</v>
      </c>
      <c r="O26" s="162">
        <f t="shared" si="9"/>
        <v>0</v>
      </c>
      <c r="P26" s="4"/>
    </row>
    <row r="27" spans="2:16">
      <c r="B27" s="9" t="str">
        <f t="shared" si="4"/>
        <v/>
      </c>
      <c r="C27" s="157">
        <f>IF(D11="","-",+C26+1)</f>
        <v>2016</v>
      </c>
      <c r="D27" s="371">
        <v>45954.054864253405</v>
      </c>
      <c r="E27" s="368">
        <v>1079.4807692307693</v>
      </c>
      <c r="F27" s="371">
        <v>44874.574095022639</v>
      </c>
      <c r="G27" s="368">
        <v>6965.2134846377958</v>
      </c>
      <c r="H27" s="370">
        <v>6965.2134846377958</v>
      </c>
      <c r="I27" s="160">
        <f t="shared" si="0"/>
        <v>0</v>
      </c>
      <c r="J27" s="160"/>
      <c r="K27" s="338">
        <f>G27</f>
        <v>6965.2134846377958</v>
      </c>
      <c r="L27" s="272">
        <f t="shared" si="7"/>
        <v>0</v>
      </c>
      <c r="M27" s="338">
        <f>H27</f>
        <v>6965.2134846377958</v>
      </c>
      <c r="N27" s="162">
        <f t="shared" si="8"/>
        <v>0</v>
      </c>
      <c r="O27" s="162">
        <f t="shared" si="9"/>
        <v>0</v>
      </c>
      <c r="P27" s="4"/>
    </row>
    <row r="28" spans="2:16">
      <c r="B28" s="9" t="str">
        <f t="shared" si="4"/>
        <v/>
      </c>
      <c r="C28" s="157">
        <f>IF(D11="","-",+C27+1)</f>
        <v>2017</v>
      </c>
      <c r="D28" s="371">
        <v>44874.574095022639</v>
      </c>
      <c r="E28" s="368">
        <v>1220.2826086956522</v>
      </c>
      <c r="F28" s="371">
        <v>43654.291486326983</v>
      </c>
      <c r="G28" s="368">
        <v>6775.7563240948048</v>
      </c>
      <c r="H28" s="370">
        <v>6775.7563240948048</v>
      </c>
      <c r="I28" s="160">
        <v>0</v>
      </c>
      <c r="J28" s="160"/>
      <c r="K28" s="338">
        <f>G28</f>
        <v>6775.7563240948048</v>
      </c>
      <c r="L28" s="272">
        <f t="shared" si="7"/>
        <v>0</v>
      </c>
      <c r="M28" s="338">
        <f>H28</f>
        <v>6775.7563240948048</v>
      </c>
      <c r="N28" s="162">
        <f t="shared" si="8"/>
        <v>0</v>
      </c>
      <c r="O28" s="162">
        <f t="shared" si="9"/>
        <v>0</v>
      </c>
      <c r="P28" s="4"/>
    </row>
    <row r="29" spans="2:16">
      <c r="B29" s="9" t="str">
        <f t="shared" si="4"/>
        <v/>
      </c>
      <c r="C29" s="157">
        <f>IF(D11="","-",+C28+1)</f>
        <v>2018</v>
      </c>
      <c r="D29" s="371">
        <v>43654.291486326983</v>
      </c>
      <c r="E29" s="368">
        <v>1247.4000000000001</v>
      </c>
      <c r="F29" s="371">
        <v>42406.891486326982</v>
      </c>
      <c r="G29" s="368">
        <v>6986.5540517513546</v>
      </c>
      <c r="H29" s="370">
        <v>6986.5540517513546</v>
      </c>
      <c r="I29" s="160">
        <f t="shared" si="0"/>
        <v>0</v>
      </c>
      <c r="J29" s="160"/>
      <c r="K29" s="338">
        <f>G29</f>
        <v>6986.5540517513546</v>
      </c>
      <c r="L29" s="272">
        <f t="shared" si="7"/>
        <v>0</v>
      </c>
      <c r="M29" s="338">
        <f>H29</f>
        <v>6986.5540517513546</v>
      </c>
      <c r="N29" s="162">
        <f t="shared" si="8"/>
        <v>0</v>
      </c>
      <c r="O29" s="162">
        <f t="shared" si="9"/>
        <v>0</v>
      </c>
      <c r="P29" s="4"/>
    </row>
    <row r="30" spans="2:16">
      <c r="B30" s="9" t="str">
        <f t="shared" si="4"/>
        <v/>
      </c>
      <c r="C30" s="157">
        <f>IF(D11="","-",+C29+1)</f>
        <v>2019</v>
      </c>
      <c r="D30" s="371">
        <v>42406.891486326982</v>
      </c>
      <c r="E30" s="368">
        <v>1247.4000000000001</v>
      </c>
      <c r="F30" s="371">
        <v>41159.491486326981</v>
      </c>
      <c r="G30" s="368">
        <v>6817.7366611519319</v>
      </c>
      <c r="H30" s="370">
        <v>6817.7366611519319</v>
      </c>
      <c r="I30" s="160">
        <f t="shared" si="0"/>
        <v>0</v>
      </c>
      <c r="J30" s="160"/>
      <c r="K30" s="338">
        <f>G30</f>
        <v>6817.7366611519319</v>
      </c>
      <c r="L30" s="272">
        <f t="shared" ref="L30" si="10">IF(K30&lt;&gt;0,+G30-K30,0)</f>
        <v>0</v>
      </c>
      <c r="M30" s="338">
        <f>H30</f>
        <v>6817.7366611519319</v>
      </c>
      <c r="N30" s="162">
        <f t="shared" ref="N30" si="11">IF(M30&lt;&gt;0,+H30-M30,0)</f>
        <v>0</v>
      </c>
      <c r="O30" s="162">
        <f t="shared" ref="O30" si="12">+N30-L30</f>
        <v>0</v>
      </c>
      <c r="P30" s="4"/>
    </row>
    <row r="31" spans="2:16">
      <c r="B31" s="9" t="str">
        <f t="shared" si="4"/>
        <v/>
      </c>
      <c r="C31" s="157">
        <f>IF(D11="","-",+C30+1)</f>
        <v>2020</v>
      </c>
      <c r="D31" s="163">
        <f>IF(F30+SUM(E$17:E30)=D$10,F30,D$10-SUM(E$17:E30))</f>
        <v>41159.491486326981</v>
      </c>
      <c r="E31" s="164">
        <f>IF(+I14&lt;F30,I14,D31)</f>
        <v>1336.5</v>
      </c>
      <c r="F31" s="163">
        <f t="shared" ref="F31:F48" si="13">+D31-E31</f>
        <v>39822.991486326981</v>
      </c>
      <c r="G31" s="165">
        <f t="shared" ref="G31:G72" si="14">(D31+F31)/2*I$12+E31</f>
        <v>5709.7475035377865</v>
      </c>
      <c r="H31" s="147">
        <f t="shared" ref="H31:H72" si="15">+(D31+F31)/2*I$13+E31</f>
        <v>5709.7475035377865</v>
      </c>
      <c r="I31" s="160">
        <f t="shared" si="0"/>
        <v>0</v>
      </c>
      <c r="J31" s="160"/>
      <c r="K31" s="335"/>
      <c r="L31" s="162">
        <f t="shared" si="1"/>
        <v>0</v>
      </c>
      <c r="M31" s="335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4"/>
        <v/>
      </c>
      <c r="C32" s="157">
        <f>IF(D11="","-",+C31+1)</f>
        <v>2021</v>
      </c>
      <c r="D32" s="163">
        <f>IF(F31+SUM(E$17:E31)=D$10,F31,D$10-SUM(E$17:E31))</f>
        <v>39822.991486326981</v>
      </c>
      <c r="E32" s="164">
        <f>IF(+I14&lt;F31,I14,D32)</f>
        <v>1336.5</v>
      </c>
      <c r="F32" s="163">
        <f t="shared" si="13"/>
        <v>38486.491486326981</v>
      </c>
      <c r="G32" s="165">
        <f t="shared" si="14"/>
        <v>5565.3991191976338</v>
      </c>
      <c r="H32" s="147">
        <f t="shared" si="15"/>
        <v>5565.3991191976338</v>
      </c>
      <c r="I32" s="160">
        <f t="shared" si="0"/>
        <v>0</v>
      </c>
      <c r="J32" s="160"/>
      <c r="K32" s="335"/>
      <c r="L32" s="162">
        <f t="shared" si="1"/>
        <v>0</v>
      </c>
      <c r="M32" s="335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4"/>
        <v/>
      </c>
      <c r="C33" s="157">
        <f>IF(D11="","-",+C32+1)</f>
        <v>2022</v>
      </c>
      <c r="D33" s="163">
        <f>IF(F32+SUM(E$17:E32)=D$10,F32,D$10-SUM(E$17:E32))</f>
        <v>38486.491486326981</v>
      </c>
      <c r="E33" s="164">
        <f>IF(+I14&lt;F32,I14,D33)</f>
        <v>1336.5</v>
      </c>
      <c r="F33" s="163">
        <f t="shared" si="13"/>
        <v>37149.991486326981</v>
      </c>
      <c r="G33" s="165">
        <f t="shared" si="14"/>
        <v>5421.0507348574811</v>
      </c>
      <c r="H33" s="147">
        <f t="shared" si="15"/>
        <v>5421.0507348574811</v>
      </c>
      <c r="I33" s="160">
        <f t="shared" si="0"/>
        <v>0</v>
      </c>
      <c r="J33" s="160"/>
      <c r="K33" s="335"/>
      <c r="L33" s="162">
        <f t="shared" si="1"/>
        <v>0</v>
      </c>
      <c r="M33" s="335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4"/>
        <v/>
      </c>
      <c r="C34" s="157">
        <f>IF(D11="","-",+C33+1)</f>
        <v>2023</v>
      </c>
      <c r="D34" s="163">
        <f>IF(F33+SUM(E$17:E33)=D$10,F33,D$10-SUM(E$17:E33))</f>
        <v>37149.991486326981</v>
      </c>
      <c r="E34" s="164">
        <f>IF(+I14&lt;F33,I14,D34)</f>
        <v>1336.5</v>
      </c>
      <c r="F34" s="163">
        <f t="shared" si="13"/>
        <v>35813.491486326981</v>
      </c>
      <c r="G34" s="165">
        <f t="shared" si="14"/>
        <v>5276.7023505173293</v>
      </c>
      <c r="H34" s="147">
        <f t="shared" si="15"/>
        <v>5276.7023505173293</v>
      </c>
      <c r="I34" s="160">
        <f t="shared" si="0"/>
        <v>0</v>
      </c>
      <c r="J34" s="160"/>
      <c r="K34" s="335"/>
      <c r="L34" s="162">
        <f t="shared" si="1"/>
        <v>0</v>
      </c>
      <c r="M34" s="335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4"/>
        <v/>
      </c>
      <c r="C35" s="157">
        <f>IF(D11="","-",+C34+1)</f>
        <v>2024</v>
      </c>
      <c r="D35" s="163">
        <f>IF(F34+SUM(E$17:E34)=D$10,F34,D$10-SUM(E$17:E34))</f>
        <v>35813.491486326981</v>
      </c>
      <c r="E35" s="164">
        <f>IF(+I14&lt;F34,I14,D35)</f>
        <v>1336.5</v>
      </c>
      <c r="F35" s="163">
        <f t="shared" si="13"/>
        <v>34476.991486326981</v>
      </c>
      <c r="G35" s="165">
        <f t="shared" si="14"/>
        <v>5132.3539661771774</v>
      </c>
      <c r="H35" s="147">
        <f t="shared" si="15"/>
        <v>5132.3539661771774</v>
      </c>
      <c r="I35" s="160">
        <f t="shared" si="0"/>
        <v>0</v>
      </c>
      <c r="J35" s="160"/>
      <c r="K35" s="335"/>
      <c r="L35" s="162">
        <f t="shared" si="1"/>
        <v>0</v>
      </c>
      <c r="M35" s="335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4"/>
        <v/>
      </c>
      <c r="C36" s="157">
        <f>IF(D11="","-",+C35+1)</f>
        <v>2025</v>
      </c>
      <c r="D36" s="163">
        <f>IF(F35+SUM(E$17:E35)=D$10,F35,D$10-SUM(E$17:E35))</f>
        <v>34476.991486326981</v>
      </c>
      <c r="E36" s="164">
        <f>IF(+I14&lt;F35,I14,D36)</f>
        <v>1336.5</v>
      </c>
      <c r="F36" s="163">
        <f t="shared" si="13"/>
        <v>33140.491486326981</v>
      </c>
      <c r="G36" s="165">
        <f t="shared" si="14"/>
        <v>4988.0055818370238</v>
      </c>
      <c r="H36" s="147">
        <f t="shared" si="15"/>
        <v>4988.0055818370238</v>
      </c>
      <c r="I36" s="160">
        <f t="shared" si="0"/>
        <v>0</v>
      </c>
      <c r="J36" s="160"/>
      <c r="K36" s="335"/>
      <c r="L36" s="162">
        <f t="shared" si="1"/>
        <v>0</v>
      </c>
      <c r="M36" s="335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4"/>
        <v/>
      </c>
      <c r="C37" s="157">
        <f>IF(D11="","-",+C36+1)</f>
        <v>2026</v>
      </c>
      <c r="D37" s="163">
        <f>IF(F36+SUM(E$17:E36)=D$10,F36,D$10-SUM(E$17:E36))</f>
        <v>33140.491486326981</v>
      </c>
      <c r="E37" s="164">
        <f>IF(+I14&lt;F36,I14,D37)</f>
        <v>1336.5</v>
      </c>
      <c r="F37" s="163">
        <f t="shared" si="13"/>
        <v>31803.991486326981</v>
      </c>
      <c r="G37" s="165">
        <f t="shared" si="14"/>
        <v>4843.657197496872</v>
      </c>
      <c r="H37" s="147">
        <f t="shared" si="15"/>
        <v>4843.657197496872</v>
      </c>
      <c r="I37" s="160">
        <f t="shared" si="0"/>
        <v>0</v>
      </c>
      <c r="J37" s="160"/>
      <c r="K37" s="335"/>
      <c r="L37" s="162">
        <f t="shared" si="1"/>
        <v>0</v>
      </c>
      <c r="M37" s="335"/>
      <c r="N37" s="162">
        <f t="shared" si="2"/>
        <v>0</v>
      </c>
      <c r="O37" s="162">
        <f t="shared" si="3"/>
        <v>0</v>
      </c>
      <c r="P37" s="4"/>
    </row>
    <row r="38" spans="2:16">
      <c r="B38" s="387" t="str">
        <f t="shared" si="4"/>
        <v/>
      </c>
      <c r="C38" s="157">
        <f>IF(D11="","-",+C37+1)</f>
        <v>2027</v>
      </c>
      <c r="D38" s="163">
        <f>IF(F37+SUM(E$17:E37)=D$10,F37,D$10-SUM(E$17:E37))</f>
        <v>31803.991486326981</v>
      </c>
      <c r="E38" s="164">
        <f>IF(+I14&lt;F37,I14,D38)</f>
        <v>1336.5</v>
      </c>
      <c r="F38" s="163">
        <f t="shared" si="13"/>
        <v>30467.491486326981</v>
      </c>
      <c r="G38" s="165">
        <f t="shared" si="14"/>
        <v>4699.3088131567201</v>
      </c>
      <c r="H38" s="147">
        <f t="shared" si="15"/>
        <v>4699.3088131567201</v>
      </c>
      <c r="I38" s="160">
        <f t="shared" si="0"/>
        <v>0</v>
      </c>
      <c r="J38" s="160"/>
      <c r="K38" s="335"/>
      <c r="L38" s="162">
        <f t="shared" si="1"/>
        <v>0</v>
      </c>
      <c r="M38" s="335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4"/>
        <v/>
      </c>
      <c r="C39" s="157">
        <f>IF(D11="","-",+C38+1)</f>
        <v>2028</v>
      </c>
      <c r="D39" s="163">
        <f>IF(F38+SUM(E$17:E38)=D$10,F38,D$10-SUM(E$17:E38))</f>
        <v>30467.491486326981</v>
      </c>
      <c r="E39" s="164">
        <f>IF(+I14&lt;F38,I14,D39)</f>
        <v>1336.5</v>
      </c>
      <c r="F39" s="163">
        <f t="shared" si="13"/>
        <v>29130.991486326981</v>
      </c>
      <c r="G39" s="165">
        <f t="shared" si="14"/>
        <v>4554.9604288165665</v>
      </c>
      <c r="H39" s="147">
        <f t="shared" si="15"/>
        <v>4554.9604288165665</v>
      </c>
      <c r="I39" s="160">
        <f t="shared" si="0"/>
        <v>0</v>
      </c>
      <c r="J39" s="160"/>
      <c r="K39" s="335"/>
      <c r="L39" s="162">
        <f t="shared" si="1"/>
        <v>0</v>
      </c>
      <c r="M39" s="335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4"/>
        <v/>
      </c>
      <c r="C40" s="157">
        <f>IF(D11="","-",+C39+1)</f>
        <v>2029</v>
      </c>
      <c r="D40" s="163">
        <f>IF(F39+SUM(E$17:E39)=D$10,F39,D$10-SUM(E$17:E39))</f>
        <v>29130.991486326981</v>
      </c>
      <c r="E40" s="164">
        <f>IF(+I14&lt;F39,I14,D40)</f>
        <v>1336.5</v>
      </c>
      <c r="F40" s="163">
        <f t="shared" si="13"/>
        <v>27794.491486326981</v>
      </c>
      <c r="G40" s="165">
        <f t="shared" si="14"/>
        <v>4410.6120444764147</v>
      </c>
      <c r="H40" s="147">
        <f t="shared" si="15"/>
        <v>4410.6120444764147</v>
      </c>
      <c r="I40" s="160">
        <f t="shared" si="0"/>
        <v>0</v>
      </c>
      <c r="J40" s="160"/>
      <c r="K40" s="335"/>
      <c r="L40" s="162">
        <f t="shared" si="1"/>
        <v>0</v>
      </c>
      <c r="M40" s="335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4"/>
        <v/>
      </c>
      <c r="C41" s="157">
        <f>IF(D11="","-",+C40+1)</f>
        <v>2030</v>
      </c>
      <c r="D41" s="163">
        <f>IF(F40+SUM(E$17:E40)=D$10,F40,D$10-SUM(E$17:E40))</f>
        <v>27794.491486326981</v>
      </c>
      <c r="E41" s="164">
        <f>IF(+I14&lt;F40,I14,D41)</f>
        <v>1336.5</v>
      </c>
      <c r="F41" s="163">
        <f t="shared" si="13"/>
        <v>26457.991486326981</v>
      </c>
      <c r="G41" s="165">
        <f t="shared" si="14"/>
        <v>4266.2636601362628</v>
      </c>
      <c r="H41" s="147">
        <f t="shared" si="15"/>
        <v>4266.2636601362628</v>
      </c>
      <c r="I41" s="160">
        <f t="shared" si="0"/>
        <v>0</v>
      </c>
      <c r="J41" s="160"/>
      <c r="K41" s="335"/>
      <c r="L41" s="162">
        <f t="shared" si="1"/>
        <v>0</v>
      </c>
      <c r="M41" s="335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4"/>
        <v/>
      </c>
      <c r="C42" s="157">
        <f>IF(D11="","-",+C41+1)</f>
        <v>2031</v>
      </c>
      <c r="D42" s="163">
        <f>IF(F41+SUM(E$17:E41)=D$10,F41,D$10-SUM(E$17:E41))</f>
        <v>26457.991486326981</v>
      </c>
      <c r="E42" s="164">
        <f>IF(+I14&lt;F41,I14,D42)</f>
        <v>1336.5</v>
      </c>
      <c r="F42" s="163">
        <f t="shared" si="13"/>
        <v>25121.491486326981</v>
      </c>
      <c r="G42" s="165">
        <f t="shared" si="14"/>
        <v>4121.9152757961092</v>
      </c>
      <c r="H42" s="147">
        <f t="shared" si="15"/>
        <v>4121.9152757961092</v>
      </c>
      <c r="I42" s="160">
        <f t="shared" si="0"/>
        <v>0</v>
      </c>
      <c r="J42" s="160"/>
      <c r="K42" s="335"/>
      <c r="L42" s="162">
        <f t="shared" si="1"/>
        <v>0</v>
      </c>
      <c r="M42" s="335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4"/>
        <v/>
      </c>
      <c r="C43" s="157">
        <f>IF(D11="","-",+C42+1)</f>
        <v>2032</v>
      </c>
      <c r="D43" s="163">
        <f>IF(F42+SUM(E$17:E42)=D$10,F42,D$10-SUM(E$17:E42))</f>
        <v>25121.491486326981</v>
      </c>
      <c r="E43" s="164">
        <f>IF(+I14&lt;F42,I14,D43)</f>
        <v>1336.5</v>
      </c>
      <c r="F43" s="163">
        <f t="shared" si="13"/>
        <v>23784.991486326981</v>
      </c>
      <c r="G43" s="165">
        <f t="shared" si="14"/>
        <v>3977.5668914559574</v>
      </c>
      <c r="H43" s="147">
        <f t="shared" si="15"/>
        <v>3977.5668914559574</v>
      </c>
      <c r="I43" s="160">
        <f t="shared" si="0"/>
        <v>0</v>
      </c>
      <c r="J43" s="160"/>
      <c r="K43" s="335"/>
      <c r="L43" s="162">
        <f t="shared" si="1"/>
        <v>0</v>
      </c>
      <c r="M43" s="335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4"/>
        <v/>
      </c>
      <c r="C44" s="157">
        <f>IF(D11="","-",+C43+1)</f>
        <v>2033</v>
      </c>
      <c r="D44" s="163">
        <f>IF(F43+SUM(E$17:E43)=D$10,F43,D$10-SUM(E$17:E43))</f>
        <v>23784.991486326981</v>
      </c>
      <c r="E44" s="164">
        <f>IF(+I14&lt;F43,I14,D44)</f>
        <v>1336.5</v>
      </c>
      <c r="F44" s="163">
        <f t="shared" si="13"/>
        <v>22448.491486326981</v>
      </c>
      <c r="G44" s="165">
        <f t="shared" si="14"/>
        <v>3833.2185071158051</v>
      </c>
      <c r="H44" s="147">
        <f t="shared" si="15"/>
        <v>3833.2185071158051</v>
      </c>
      <c r="I44" s="160">
        <f t="shared" si="0"/>
        <v>0</v>
      </c>
      <c r="J44" s="160"/>
      <c r="K44" s="335"/>
      <c r="L44" s="162">
        <f t="shared" si="1"/>
        <v>0</v>
      </c>
      <c r="M44" s="335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4"/>
        <v/>
      </c>
      <c r="C45" s="157">
        <f>IF(D11="","-",+C44+1)</f>
        <v>2034</v>
      </c>
      <c r="D45" s="163">
        <f>IF(F44+SUM(E$17:E44)=D$10,F44,D$10-SUM(E$17:E44))</f>
        <v>22448.491486326981</v>
      </c>
      <c r="E45" s="164">
        <f>IF(+I14&lt;F44,I14,D45)</f>
        <v>1336.5</v>
      </c>
      <c r="F45" s="163">
        <f t="shared" si="13"/>
        <v>21111.991486326981</v>
      </c>
      <c r="G45" s="165">
        <f t="shared" si="14"/>
        <v>3688.8701227756524</v>
      </c>
      <c r="H45" s="147">
        <f t="shared" si="15"/>
        <v>3688.8701227756524</v>
      </c>
      <c r="I45" s="160">
        <f t="shared" si="0"/>
        <v>0</v>
      </c>
      <c r="J45" s="160"/>
      <c r="K45" s="335"/>
      <c r="L45" s="162">
        <f t="shared" si="1"/>
        <v>0</v>
      </c>
      <c r="M45" s="335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4"/>
        <v/>
      </c>
      <c r="C46" s="157">
        <f>IF(D11="","-",+C45+1)</f>
        <v>2035</v>
      </c>
      <c r="D46" s="163">
        <f>IF(F45+SUM(E$17:E45)=D$10,F45,D$10-SUM(E$17:E45))</f>
        <v>21111.991486326981</v>
      </c>
      <c r="E46" s="164">
        <f>IF(+I14&lt;F45,I14,D46)</f>
        <v>1336.5</v>
      </c>
      <c r="F46" s="163">
        <f t="shared" si="13"/>
        <v>19775.491486326981</v>
      </c>
      <c r="G46" s="165">
        <f t="shared" si="14"/>
        <v>3544.5217384355001</v>
      </c>
      <c r="H46" s="147">
        <f t="shared" si="15"/>
        <v>3544.5217384355001</v>
      </c>
      <c r="I46" s="160">
        <f t="shared" si="0"/>
        <v>0</v>
      </c>
      <c r="J46" s="160"/>
      <c r="K46" s="335"/>
      <c r="L46" s="162">
        <f t="shared" si="1"/>
        <v>0</v>
      </c>
      <c r="M46" s="335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4"/>
        <v/>
      </c>
      <c r="C47" s="157">
        <f>IF(D11="","-",+C46+1)</f>
        <v>2036</v>
      </c>
      <c r="D47" s="163">
        <f>IF(F46+SUM(E$17:E46)=D$10,F46,D$10-SUM(E$17:E46))</f>
        <v>19775.491486326981</v>
      </c>
      <c r="E47" s="164">
        <f>IF(+I14&lt;F46,I14,D47)</f>
        <v>1336.5</v>
      </c>
      <c r="F47" s="163">
        <f t="shared" si="13"/>
        <v>18438.991486326981</v>
      </c>
      <c r="G47" s="165">
        <f t="shared" si="14"/>
        <v>3400.1733540953478</v>
      </c>
      <c r="H47" s="147">
        <f t="shared" si="15"/>
        <v>3400.1733540953478</v>
      </c>
      <c r="I47" s="160">
        <f t="shared" si="0"/>
        <v>0</v>
      </c>
      <c r="J47" s="160"/>
      <c r="K47" s="335"/>
      <c r="L47" s="162">
        <f t="shared" si="1"/>
        <v>0</v>
      </c>
      <c r="M47" s="335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4"/>
        <v/>
      </c>
      <c r="C48" s="157">
        <f>IF(D11="","-",+C47+1)</f>
        <v>2037</v>
      </c>
      <c r="D48" s="163">
        <f>IF(F47+SUM(E$17:E47)=D$10,F47,D$10-SUM(E$17:E47))</f>
        <v>18438.991486326981</v>
      </c>
      <c r="E48" s="164">
        <f>IF(+I14&lt;F47,I14,D48)</f>
        <v>1336.5</v>
      </c>
      <c r="F48" s="163">
        <f t="shared" si="13"/>
        <v>17102.491486326981</v>
      </c>
      <c r="G48" s="165">
        <f t="shared" si="14"/>
        <v>3255.8249697551955</v>
      </c>
      <c r="H48" s="147">
        <f t="shared" si="15"/>
        <v>3255.8249697551955</v>
      </c>
      <c r="I48" s="160">
        <f t="shared" si="0"/>
        <v>0</v>
      </c>
      <c r="J48" s="160"/>
      <c r="K48" s="335"/>
      <c r="L48" s="162">
        <f t="shared" si="1"/>
        <v>0</v>
      </c>
      <c r="M48" s="335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4"/>
        <v/>
      </c>
      <c r="C49" s="157">
        <f>IF(D11="","-",+C48+1)</f>
        <v>2038</v>
      </c>
      <c r="D49" s="163">
        <f>IF(F48+SUM(E$17:E48)=D$10,F48,D$10-SUM(E$17:E48))</f>
        <v>17102.491486326981</v>
      </c>
      <c r="E49" s="164">
        <f>IF(+I14&lt;F48,I14,D49)</f>
        <v>1336.5</v>
      </c>
      <c r="F49" s="163">
        <f t="shared" ref="F49:F72" si="16">+D49-E49</f>
        <v>15765.991486326981</v>
      </c>
      <c r="G49" s="165">
        <f t="shared" si="14"/>
        <v>3111.4765854150428</v>
      </c>
      <c r="H49" s="147">
        <f t="shared" si="15"/>
        <v>3111.4765854150428</v>
      </c>
      <c r="I49" s="160">
        <f t="shared" ref="I49:I72" si="17">H49-G49</f>
        <v>0</v>
      </c>
      <c r="J49" s="160"/>
      <c r="K49" s="335"/>
      <c r="L49" s="162">
        <f t="shared" ref="L49:L72" si="18">IF(K49&lt;&gt;0,+G49-K49,0)</f>
        <v>0</v>
      </c>
      <c r="M49" s="335"/>
      <c r="N49" s="162">
        <f t="shared" ref="N49:N72" si="19">IF(M49&lt;&gt;0,+H49-M49,0)</f>
        <v>0</v>
      </c>
      <c r="O49" s="162">
        <f t="shared" ref="O49:O72" si="20">+N49-L49</f>
        <v>0</v>
      </c>
      <c r="P49" s="4"/>
    </row>
    <row r="50" spans="2:16">
      <c r="B50" s="9" t="str">
        <f t="shared" si="4"/>
        <v/>
      </c>
      <c r="C50" s="157">
        <f>IF(D11="","-",+C49+1)</f>
        <v>2039</v>
      </c>
      <c r="D50" s="163">
        <f>IF(F49+SUM(E$17:E49)=D$10,F49,D$10-SUM(E$17:E49))</f>
        <v>15765.991486326981</v>
      </c>
      <c r="E50" s="164">
        <f>IF(+I14&lt;F49,I14,D50)</f>
        <v>1336.5</v>
      </c>
      <c r="F50" s="163">
        <f t="shared" si="16"/>
        <v>14429.491486326981</v>
      </c>
      <c r="G50" s="165">
        <f t="shared" si="14"/>
        <v>2967.1282010748905</v>
      </c>
      <c r="H50" s="147">
        <f t="shared" si="15"/>
        <v>2967.1282010748905</v>
      </c>
      <c r="I50" s="160">
        <f t="shared" si="17"/>
        <v>0</v>
      </c>
      <c r="J50" s="160"/>
      <c r="K50" s="335"/>
      <c r="L50" s="162">
        <f t="shared" si="18"/>
        <v>0</v>
      </c>
      <c r="M50" s="335"/>
      <c r="N50" s="162">
        <f t="shared" si="19"/>
        <v>0</v>
      </c>
      <c r="O50" s="162">
        <f t="shared" si="20"/>
        <v>0</v>
      </c>
      <c r="P50" s="4"/>
    </row>
    <row r="51" spans="2:16">
      <c r="B51" s="9" t="str">
        <f t="shared" si="4"/>
        <v/>
      </c>
      <c r="C51" s="157">
        <f>IF(D11="","-",+C50+1)</f>
        <v>2040</v>
      </c>
      <c r="D51" s="163">
        <f>IF(F50+SUM(E$17:E50)=D$10,F50,D$10-SUM(E$17:E50))</f>
        <v>14429.491486326981</v>
      </c>
      <c r="E51" s="164">
        <f>IF(+I14&lt;F50,I14,D51)</f>
        <v>1336.5</v>
      </c>
      <c r="F51" s="163">
        <f t="shared" si="16"/>
        <v>13092.991486326981</v>
      </c>
      <c r="G51" s="165">
        <f t="shared" si="14"/>
        <v>2822.7798167347382</v>
      </c>
      <c r="H51" s="147">
        <f t="shared" si="15"/>
        <v>2822.7798167347382</v>
      </c>
      <c r="I51" s="160">
        <f t="shared" si="17"/>
        <v>0</v>
      </c>
      <c r="J51" s="160"/>
      <c r="K51" s="335"/>
      <c r="L51" s="162">
        <f t="shared" si="18"/>
        <v>0</v>
      </c>
      <c r="M51" s="335"/>
      <c r="N51" s="162">
        <f t="shared" si="19"/>
        <v>0</v>
      </c>
      <c r="O51" s="162">
        <f t="shared" si="20"/>
        <v>0</v>
      </c>
      <c r="P51" s="4"/>
    </row>
    <row r="52" spans="2:16">
      <c r="B52" s="9" t="str">
        <f t="shared" si="4"/>
        <v/>
      </c>
      <c r="C52" s="157">
        <f>IF(D11="","-",+C51+1)</f>
        <v>2041</v>
      </c>
      <c r="D52" s="163">
        <f>IF(F51+SUM(E$17:E51)=D$10,F51,D$10-SUM(E$17:E51))</f>
        <v>13092.991486326981</v>
      </c>
      <c r="E52" s="164">
        <f>IF(+I14&lt;F51,I14,D52)</f>
        <v>1336.5</v>
      </c>
      <c r="F52" s="163">
        <f t="shared" si="16"/>
        <v>11756.491486326981</v>
      </c>
      <c r="G52" s="165">
        <f t="shared" si="14"/>
        <v>2678.4314323945855</v>
      </c>
      <c r="H52" s="147">
        <f t="shared" si="15"/>
        <v>2678.4314323945855</v>
      </c>
      <c r="I52" s="160">
        <f t="shared" si="17"/>
        <v>0</v>
      </c>
      <c r="J52" s="160"/>
      <c r="K52" s="335"/>
      <c r="L52" s="162">
        <f t="shared" si="18"/>
        <v>0</v>
      </c>
      <c r="M52" s="335"/>
      <c r="N52" s="162">
        <f t="shared" si="19"/>
        <v>0</v>
      </c>
      <c r="O52" s="162">
        <f t="shared" si="20"/>
        <v>0</v>
      </c>
      <c r="P52" s="4"/>
    </row>
    <row r="53" spans="2:16">
      <c r="B53" s="9" t="str">
        <f t="shared" si="4"/>
        <v/>
      </c>
      <c r="C53" s="157">
        <f>IF(D11="","-",+C52+1)</f>
        <v>2042</v>
      </c>
      <c r="D53" s="163">
        <f>IF(F52+SUM(E$17:E52)=D$10,F52,D$10-SUM(E$17:E52))</f>
        <v>11756.491486326981</v>
      </c>
      <c r="E53" s="164">
        <f>IF(+I14&lt;F52,I14,D53)</f>
        <v>1336.5</v>
      </c>
      <c r="F53" s="163">
        <f t="shared" si="16"/>
        <v>10419.991486326981</v>
      </c>
      <c r="G53" s="165">
        <f t="shared" si="14"/>
        <v>2534.0830480544332</v>
      </c>
      <c r="H53" s="147">
        <f t="shared" si="15"/>
        <v>2534.0830480544332</v>
      </c>
      <c r="I53" s="160">
        <f t="shared" si="17"/>
        <v>0</v>
      </c>
      <c r="J53" s="160"/>
      <c r="K53" s="335"/>
      <c r="L53" s="162">
        <f t="shared" si="18"/>
        <v>0</v>
      </c>
      <c r="M53" s="335"/>
      <c r="N53" s="162">
        <f t="shared" si="19"/>
        <v>0</v>
      </c>
      <c r="O53" s="162">
        <f t="shared" si="20"/>
        <v>0</v>
      </c>
      <c r="P53" s="4"/>
    </row>
    <row r="54" spans="2:16">
      <c r="B54" s="9" t="str">
        <f t="shared" si="4"/>
        <v/>
      </c>
      <c r="C54" s="157">
        <f>IF(D11="","-",+C53+1)</f>
        <v>2043</v>
      </c>
      <c r="D54" s="163">
        <f>IF(F53+SUM(E$17:E53)=D$10,F53,D$10-SUM(E$17:E53))</f>
        <v>10419.991486326981</v>
      </c>
      <c r="E54" s="164">
        <f>IF(+I14&lt;F53,I14,D54)</f>
        <v>1336.5</v>
      </c>
      <c r="F54" s="163">
        <f t="shared" si="16"/>
        <v>9083.4914863269805</v>
      </c>
      <c r="G54" s="165">
        <f t="shared" si="14"/>
        <v>2389.7346637142809</v>
      </c>
      <c r="H54" s="147">
        <f t="shared" si="15"/>
        <v>2389.7346637142809</v>
      </c>
      <c r="I54" s="160">
        <f t="shared" si="17"/>
        <v>0</v>
      </c>
      <c r="J54" s="160"/>
      <c r="K54" s="335"/>
      <c r="L54" s="162">
        <f t="shared" si="18"/>
        <v>0</v>
      </c>
      <c r="M54" s="335"/>
      <c r="N54" s="162">
        <f t="shared" si="19"/>
        <v>0</v>
      </c>
      <c r="O54" s="162">
        <f t="shared" si="20"/>
        <v>0</v>
      </c>
      <c r="P54" s="4"/>
    </row>
    <row r="55" spans="2:16">
      <c r="B55" s="9" t="str">
        <f t="shared" si="4"/>
        <v/>
      </c>
      <c r="C55" s="157">
        <f>IF(D11="","-",+C54+1)</f>
        <v>2044</v>
      </c>
      <c r="D55" s="163">
        <f>IF(F54+SUM(E$17:E54)=D$10,F54,D$10-SUM(E$17:E54))</f>
        <v>9083.4914863269805</v>
      </c>
      <c r="E55" s="164">
        <f>IF(+I14&lt;F54,I14,D55)</f>
        <v>1336.5</v>
      </c>
      <c r="F55" s="163">
        <f t="shared" si="16"/>
        <v>7746.9914863269805</v>
      </c>
      <c r="G55" s="165">
        <f t="shared" si="14"/>
        <v>2245.3862793741282</v>
      </c>
      <c r="H55" s="147">
        <f t="shared" si="15"/>
        <v>2245.3862793741282</v>
      </c>
      <c r="I55" s="160">
        <f t="shared" si="17"/>
        <v>0</v>
      </c>
      <c r="J55" s="160"/>
      <c r="K55" s="335"/>
      <c r="L55" s="162">
        <f t="shared" si="18"/>
        <v>0</v>
      </c>
      <c r="M55" s="335"/>
      <c r="N55" s="162">
        <f t="shared" si="19"/>
        <v>0</v>
      </c>
      <c r="O55" s="162">
        <f t="shared" si="20"/>
        <v>0</v>
      </c>
      <c r="P55" s="4"/>
    </row>
    <row r="56" spans="2:16">
      <c r="B56" s="9" t="str">
        <f t="shared" si="4"/>
        <v/>
      </c>
      <c r="C56" s="157">
        <f>IF(D11="","-",+C55+1)</f>
        <v>2045</v>
      </c>
      <c r="D56" s="163">
        <f>IF(F55+SUM(E$17:E55)=D$10,F55,D$10-SUM(E$17:E55))</f>
        <v>7746.9914863269805</v>
      </c>
      <c r="E56" s="164">
        <f>IF(+I14&lt;F55,I14,D56)</f>
        <v>1336.5</v>
      </c>
      <c r="F56" s="163">
        <f t="shared" si="16"/>
        <v>6410.4914863269805</v>
      </c>
      <c r="G56" s="165">
        <f t="shared" si="14"/>
        <v>2101.0378950339759</v>
      </c>
      <c r="H56" s="147">
        <f t="shared" si="15"/>
        <v>2101.0378950339759</v>
      </c>
      <c r="I56" s="160">
        <f t="shared" si="17"/>
        <v>0</v>
      </c>
      <c r="J56" s="160"/>
      <c r="K56" s="335"/>
      <c r="L56" s="162">
        <f t="shared" si="18"/>
        <v>0</v>
      </c>
      <c r="M56" s="335"/>
      <c r="N56" s="162">
        <f t="shared" si="19"/>
        <v>0</v>
      </c>
      <c r="O56" s="162">
        <f t="shared" si="20"/>
        <v>0</v>
      </c>
      <c r="P56" s="4"/>
    </row>
    <row r="57" spans="2:16">
      <c r="B57" s="9" t="str">
        <f t="shared" si="4"/>
        <v/>
      </c>
      <c r="C57" s="157">
        <f>IF(D11="","-",+C56+1)</f>
        <v>2046</v>
      </c>
      <c r="D57" s="163">
        <f>IF(F56+SUM(E$17:E56)=D$10,F56,D$10-SUM(E$17:E56))</f>
        <v>6410.4914863269805</v>
      </c>
      <c r="E57" s="164">
        <f>IF(+I14&lt;F56,I14,D57)</f>
        <v>1336.5</v>
      </c>
      <c r="F57" s="163">
        <f t="shared" si="16"/>
        <v>5073.9914863269805</v>
      </c>
      <c r="G57" s="165">
        <f t="shared" si="14"/>
        <v>1956.6895106938236</v>
      </c>
      <c r="H57" s="147">
        <f t="shared" si="15"/>
        <v>1956.6895106938236</v>
      </c>
      <c r="I57" s="160">
        <f t="shared" si="17"/>
        <v>0</v>
      </c>
      <c r="J57" s="160"/>
      <c r="K57" s="335"/>
      <c r="L57" s="162">
        <f t="shared" si="18"/>
        <v>0</v>
      </c>
      <c r="M57" s="335"/>
      <c r="N57" s="162">
        <f t="shared" si="19"/>
        <v>0</v>
      </c>
      <c r="O57" s="162">
        <f t="shared" si="20"/>
        <v>0</v>
      </c>
      <c r="P57" s="4"/>
    </row>
    <row r="58" spans="2:16">
      <c r="B58" s="9" t="str">
        <f t="shared" si="4"/>
        <v/>
      </c>
      <c r="C58" s="157">
        <f>IF(D11="","-",+C57+1)</f>
        <v>2047</v>
      </c>
      <c r="D58" s="163">
        <f>IF(F57+SUM(E$17:E57)=D$10,F57,D$10-SUM(E$17:E57))</f>
        <v>5073.9914863269805</v>
      </c>
      <c r="E58" s="164">
        <f>IF(+I14&lt;F57,I14,D58)</f>
        <v>1336.5</v>
      </c>
      <c r="F58" s="163">
        <f t="shared" si="16"/>
        <v>3737.4914863269805</v>
      </c>
      <c r="G58" s="165">
        <f t="shared" si="14"/>
        <v>1812.3411263536711</v>
      </c>
      <c r="H58" s="147">
        <f t="shared" si="15"/>
        <v>1812.3411263536711</v>
      </c>
      <c r="I58" s="160">
        <f t="shared" si="17"/>
        <v>0</v>
      </c>
      <c r="J58" s="160"/>
      <c r="K58" s="335"/>
      <c r="L58" s="162">
        <f t="shared" si="18"/>
        <v>0</v>
      </c>
      <c r="M58" s="335"/>
      <c r="N58" s="162">
        <f t="shared" si="19"/>
        <v>0</v>
      </c>
      <c r="O58" s="162">
        <f t="shared" si="20"/>
        <v>0</v>
      </c>
      <c r="P58" s="4"/>
    </row>
    <row r="59" spans="2:16">
      <c r="B59" s="9" t="str">
        <f t="shared" si="4"/>
        <v/>
      </c>
      <c r="C59" s="157">
        <f>IF(D11="","-",+C58+1)</f>
        <v>2048</v>
      </c>
      <c r="D59" s="163">
        <f>IF(F58+SUM(E$17:E58)=D$10,F58,D$10-SUM(E$17:E58))</f>
        <v>3737.4914863269805</v>
      </c>
      <c r="E59" s="164">
        <f>IF(+I14&lt;F58,I14,D59)</f>
        <v>1336.5</v>
      </c>
      <c r="F59" s="163">
        <f t="shared" si="16"/>
        <v>2400.9914863269805</v>
      </c>
      <c r="G59" s="165">
        <f t="shared" si="14"/>
        <v>1667.9927420135186</v>
      </c>
      <c r="H59" s="147">
        <f t="shared" si="15"/>
        <v>1667.9927420135186</v>
      </c>
      <c r="I59" s="160">
        <f t="shared" si="17"/>
        <v>0</v>
      </c>
      <c r="J59" s="160"/>
      <c r="K59" s="335"/>
      <c r="L59" s="162">
        <f t="shared" si="18"/>
        <v>0</v>
      </c>
      <c r="M59" s="335"/>
      <c r="N59" s="162">
        <f t="shared" si="19"/>
        <v>0</v>
      </c>
      <c r="O59" s="162">
        <f t="shared" si="20"/>
        <v>0</v>
      </c>
      <c r="P59" s="4"/>
    </row>
    <row r="60" spans="2:16">
      <c r="B60" s="9" t="str">
        <f t="shared" si="4"/>
        <v/>
      </c>
      <c r="C60" s="157">
        <f>IF(D11="","-",+C59+1)</f>
        <v>2049</v>
      </c>
      <c r="D60" s="163">
        <f>IF(F59+SUM(E$17:E59)=D$10,F59,D$10-SUM(E$17:E59))</f>
        <v>2400.9914863269805</v>
      </c>
      <c r="E60" s="164">
        <f>IF(+I14&lt;F59,I14,D60)</f>
        <v>1336.5</v>
      </c>
      <c r="F60" s="163">
        <f t="shared" si="16"/>
        <v>1064.4914863269805</v>
      </c>
      <c r="G60" s="165">
        <f t="shared" si="14"/>
        <v>1523.6443576733661</v>
      </c>
      <c r="H60" s="147">
        <f t="shared" si="15"/>
        <v>1523.6443576733661</v>
      </c>
      <c r="I60" s="160">
        <f t="shared" si="17"/>
        <v>0</v>
      </c>
      <c r="J60" s="160"/>
      <c r="K60" s="335"/>
      <c r="L60" s="162">
        <f t="shared" si="18"/>
        <v>0</v>
      </c>
      <c r="M60" s="335"/>
      <c r="N60" s="162">
        <f t="shared" si="19"/>
        <v>0</v>
      </c>
      <c r="O60" s="162">
        <f t="shared" si="20"/>
        <v>0</v>
      </c>
      <c r="P60" s="4"/>
    </row>
    <row r="61" spans="2:16">
      <c r="B61" s="9" t="str">
        <f t="shared" si="4"/>
        <v/>
      </c>
      <c r="C61" s="157">
        <f>IF(D11="","-",+C60+1)</f>
        <v>2050</v>
      </c>
      <c r="D61" s="163">
        <f>IF(F60+SUM(E$17:E60)=D$10,F60,D$10-SUM(E$17:E60))</f>
        <v>1064.4914863269805</v>
      </c>
      <c r="E61" s="164">
        <f>IF(+I14&lt;F60,I14,D61)</f>
        <v>1064.4914863269805</v>
      </c>
      <c r="F61" s="163">
        <f t="shared" si="16"/>
        <v>0</v>
      </c>
      <c r="G61" s="165">
        <f t="shared" si="14"/>
        <v>1121.9765690786255</v>
      </c>
      <c r="H61" s="147">
        <f t="shared" si="15"/>
        <v>1121.9765690786255</v>
      </c>
      <c r="I61" s="160">
        <f t="shared" si="17"/>
        <v>0</v>
      </c>
      <c r="J61" s="160"/>
      <c r="K61" s="335"/>
      <c r="L61" s="162">
        <f t="shared" si="18"/>
        <v>0</v>
      </c>
      <c r="M61" s="335"/>
      <c r="N61" s="162">
        <f t="shared" si="19"/>
        <v>0</v>
      </c>
      <c r="O61" s="162">
        <f t="shared" si="20"/>
        <v>0</v>
      </c>
      <c r="P61" s="4"/>
    </row>
    <row r="62" spans="2:16">
      <c r="B62" s="9" t="str">
        <f t="shared" si="4"/>
        <v/>
      </c>
      <c r="C62" s="157">
        <f>IF(D11="","-",+C61+1)</f>
        <v>2051</v>
      </c>
      <c r="D62" s="163">
        <f>IF(F61+SUM(E$17:E61)=D$10,F61,D$10-SUM(E$17:E61))</f>
        <v>0</v>
      </c>
      <c r="E62" s="164">
        <f>IF(+I14&lt;F61,I14,D62)</f>
        <v>0</v>
      </c>
      <c r="F62" s="163">
        <f t="shared" si="16"/>
        <v>0</v>
      </c>
      <c r="G62" s="165">
        <f t="shared" si="14"/>
        <v>0</v>
      </c>
      <c r="H62" s="147">
        <f t="shared" si="15"/>
        <v>0</v>
      </c>
      <c r="I62" s="160">
        <f t="shared" si="17"/>
        <v>0</v>
      </c>
      <c r="J62" s="160"/>
      <c r="K62" s="335"/>
      <c r="L62" s="162">
        <f t="shared" si="18"/>
        <v>0</v>
      </c>
      <c r="M62" s="335"/>
      <c r="N62" s="162">
        <f t="shared" si="19"/>
        <v>0</v>
      </c>
      <c r="O62" s="162">
        <f t="shared" si="20"/>
        <v>0</v>
      </c>
      <c r="P62" s="4"/>
    </row>
    <row r="63" spans="2:16">
      <c r="B63" s="387" t="str">
        <f t="shared" si="4"/>
        <v/>
      </c>
      <c r="C63" s="157">
        <f>IF(D11="","-",+C62+1)</f>
        <v>2052</v>
      </c>
      <c r="D63" s="163">
        <f>IF(F62+SUM(E$17:E62)=D$10,F62,D$10-SUM(E$17:E62))</f>
        <v>0</v>
      </c>
      <c r="E63" s="164">
        <f>IF(+I14&lt;F62,I14,D63)</f>
        <v>0</v>
      </c>
      <c r="F63" s="163">
        <f t="shared" si="16"/>
        <v>0</v>
      </c>
      <c r="G63" s="165">
        <f t="shared" si="14"/>
        <v>0</v>
      </c>
      <c r="H63" s="147">
        <f t="shared" si="15"/>
        <v>0</v>
      </c>
      <c r="I63" s="160">
        <f t="shared" si="17"/>
        <v>0</v>
      </c>
      <c r="J63" s="160"/>
      <c r="K63" s="335"/>
      <c r="L63" s="162">
        <f t="shared" si="18"/>
        <v>0</v>
      </c>
      <c r="M63" s="335"/>
      <c r="N63" s="162">
        <f t="shared" si="19"/>
        <v>0</v>
      </c>
      <c r="O63" s="162">
        <f t="shared" si="20"/>
        <v>0</v>
      </c>
      <c r="P63" s="4"/>
    </row>
    <row r="64" spans="2:16">
      <c r="B64" s="9" t="str">
        <f t="shared" si="4"/>
        <v/>
      </c>
      <c r="C64" s="157">
        <f>IF(D11="","-",+C63+1)</f>
        <v>2053</v>
      </c>
      <c r="D64" s="163">
        <f>IF(F63+SUM(E$17:E63)=D$10,F63,D$10-SUM(E$17:E63))</f>
        <v>0</v>
      </c>
      <c r="E64" s="164">
        <f>IF(+I14&lt;F63,I14,D64)</f>
        <v>0</v>
      </c>
      <c r="F64" s="163">
        <f t="shared" si="16"/>
        <v>0</v>
      </c>
      <c r="G64" s="165">
        <f t="shared" si="14"/>
        <v>0</v>
      </c>
      <c r="H64" s="147">
        <f t="shared" si="15"/>
        <v>0</v>
      </c>
      <c r="I64" s="160">
        <f t="shared" si="17"/>
        <v>0</v>
      </c>
      <c r="J64" s="160"/>
      <c r="K64" s="335"/>
      <c r="L64" s="162">
        <f t="shared" si="18"/>
        <v>0</v>
      </c>
      <c r="M64" s="335"/>
      <c r="N64" s="162">
        <f t="shared" si="19"/>
        <v>0</v>
      </c>
      <c r="O64" s="162">
        <f t="shared" si="20"/>
        <v>0</v>
      </c>
      <c r="P64" s="4"/>
    </row>
    <row r="65" spans="2:16">
      <c r="B65" s="9" t="str">
        <f t="shared" si="4"/>
        <v/>
      </c>
      <c r="C65" s="157">
        <f>IF(D11="","-",+C64+1)</f>
        <v>2054</v>
      </c>
      <c r="D65" s="163">
        <f>IF(F64+SUM(E$17:E64)=D$10,F64,D$10-SUM(E$17:E64))</f>
        <v>0</v>
      </c>
      <c r="E65" s="164">
        <f>IF(+I14&lt;F64,I14,D65)</f>
        <v>0</v>
      </c>
      <c r="F65" s="163">
        <f t="shared" si="16"/>
        <v>0</v>
      </c>
      <c r="G65" s="165">
        <f t="shared" si="14"/>
        <v>0</v>
      </c>
      <c r="H65" s="147">
        <f t="shared" si="15"/>
        <v>0</v>
      </c>
      <c r="I65" s="160">
        <f t="shared" si="17"/>
        <v>0</v>
      </c>
      <c r="J65" s="160"/>
      <c r="K65" s="335"/>
      <c r="L65" s="162">
        <f t="shared" si="18"/>
        <v>0</v>
      </c>
      <c r="M65" s="335"/>
      <c r="N65" s="162">
        <f t="shared" si="19"/>
        <v>0</v>
      </c>
      <c r="O65" s="162">
        <f t="shared" si="20"/>
        <v>0</v>
      </c>
      <c r="P65" s="4"/>
    </row>
    <row r="66" spans="2:16">
      <c r="B66" s="9" t="str">
        <f t="shared" si="4"/>
        <v/>
      </c>
      <c r="C66" s="157">
        <f>IF(D11="","-",+C65+1)</f>
        <v>2055</v>
      </c>
      <c r="D66" s="163">
        <f>IF(F65+SUM(E$17:E65)=D$10,F65,D$10-SUM(E$17:E65))</f>
        <v>0</v>
      </c>
      <c r="E66" s="164">
        <f>IF(+I14&lt;F65,I14,D66)</f>
        <v>0</v>
      </c>
      <c r="F66" s="163">
        <f t="shared" si="16"/>
        <v>0</v>
      </c>
      <c r="G66" s="165">
        <f t="shared" si="14"/>
        <v>0</v>
      </c>
      <c r="H66" s="147">
        <f t="shared" si="15"/>
        <v>0</v>
      </c>
      <c r="I66" s="160">
        <f t="shared" si="17"/>
        <v>0</v>
      </c>
      <c r="J66" s="160"/>
      <c r="K66" s="335"/>
      <c r="L66" s="162">
        <f t="shared" si="18"/>
        <v>0</v>
      </c>
      <c r="M66" s="335"/>
      <c r="N66" s="162">
        <f t="shared" si="19"/>
        <v>0</v>
      </c>
      <c r="O66" s="162">
        <f t="shared" si="20"/>
        <v>0</v>
      </c>
      <c r="P66" s="4"/>
    </row>
    <row r="67" spans="2:16">
      <c r="B67" s="9" t="str">
        <f t="shared" si="4"/>
        <v/>
      </c>
      <c r="C67" s="157">
        <f>IF(D11="","-",+C66+1)</f>
        <v>2056</v>
      </c>
      <c r="D67" s="163">
        <f>IF(F66+SUM(E$17:E66)=D$10,F66,D$10-SUM(E$17:E66))</f>
        <v>0</v>
      </c>
      <c r="E67" s="164">
        <f>IF(+I14&lt;F66,I14,D67)</f>
        <v>0</v>
      </c>
      <c r="F67" s="163">
        <f t="shared" si="16"/>
        <v>0</v>
      </c>
      <c r="G67" s="165">
        <f t="shared" si="14"/>
        <v>0</v>
      </c>
      <c r="H67" s="147">
        <f t="shared" si="15"/>
        <v>0</v>
      </c>
      <c r="I67" s="160">
        <f t="shared" si="17"/>
        <v>0</v>
      </c>
      <c r="J67" s="160"/>
      <c r="K67" s="335"/>
      <c r="L67" s="162">
        <f t="shared" si="18"/>
        <v>0</v>
      </c>
      <c r="M67" s="335"/>
      <c r="N67" s="162">
        <f t="shared" si="19"/>
        <v>0</v>
      </c>
      <c r="O67" s="162">
        <f t="shared" si="20"/>
        <v>0</v>
      </c>
      <c r="P67" s="4"/>
    </row>
    <row r="68" spans="2:16">
      <c r="B68" s="9" t="str">
        <f t="shared" si="4"/>
        <v/>
      </c>
      <c r="C68" s="157">
        <f>IF(D11="","-",+C67+1)</f>
        <v>2057</v>
      </c>
      <c r="D68" s="163">
        <f>IF(F67+SUM(E$17:E67)=D$10,F67,D$10-SUM(E$17:E67))</f>
        <v>0</v>
      </c>
      <c r="E68" s="164">
        <f>IF(+I14&lt;F67,I14,D68)</f>
        <v>0</v>
      </c>
      <c r="F68" s="163">
        <f t="shared" si="16"/>
        <v>0</v>
      </c>
      <c r="G68" s="165">
        <f t="shared" si="14"/>
        <v>0</v>
      </c>
      <c r="H68" s="147">
        <f t="shared" si="15"/>
        <v>0</v>
      </c>
      <c r="I68" s="160">
        <f t="shared" si="17"/>
        <v>0</v>
      </c>
      <c r="J68" s="160"/>
      <c r="K68" s="335"/>
      <c r="L68" s="162">
        <f t="shared" si="18"/>
        <v>0</v>
      </c>
      <c r="M68" s="335"/>
      <c r="N68" s="162">
        <f t="shared" si="19"/>
        <v>0</v>
      </c>
      <c r="O68" s="162">
        <f t="shared" si="20"/>
        <v>0</v>
      </c>
      <c r="P68" s="4"/>
    </row>
    <row r="69" spans="2:16">
      <c r="B69" s="9" t="str">
        <f t="shared" si="4"/>
        <v/>
      </c>
      <c r="C69" s="157">
        <f>IF(D11="","-",+C68+1)</f>
        <v>2058</v>
      </c>
      <c r="D69" s="163">
        <f>IF(F68+SUM(E$17:E68)=D$10,F68,D$10-SUM(E$17:E68))</f>
        <v>0</v>
      </c>
      <c r="E69" s="164">
        <f>IF(+I14&lt;F68,I14,D69)</f>
        <v>0</v>
      </c>
      <c r="F69" s="163">
        <f t="shared" si="16"/>
        <v>0</v>
      </c>
      <c r="G69" s="165">
        <f t="shared" si="14"/>
        <v>0</v>
      </c>
      <c r="H69" s="147">
        <f t="shared" si="15"/>
        <v>0</v>
      </c>
      <c r="I69" s="160">
        <f t="shared" si="17"/>
        <v>0</v>
      </c>
      <c r="J69" s="160"/>
      <c r="K69" s="335"/>
      <c r="L69" s="162">
        <f t="shared" si="18"/>
        <v>0</v>
      </c>
      <c r="M69" s="335"/>
      <c r="N69" s="162">
        <f t="shared" si="19"/>
        <v>0</v>
      </c>
      <c r="O69" s="162">
        <f t="shared" si="20"/>
        <v>0</v>
      </c>
      <c r="P69" s="4"/>
    </row>
    <row r="70" spans="2:16">
      <c r="B70" s="9" t="str">
        <f t="shared" si="4"/>
        <v/>
      </c>
      <c r="C70" s="157">
        <f>IF(D11="","-",+C69+1)</f>
        <v>2059</v>
      </c>
      <c r="D70" s="163">
        <f>IF(F69+SUM(E$17:E69)=D$10,F69,D$10-SUM(E$17:E69))</f>
        <v>0</v>
      </c>
      <c r="E70" s="164">
        <f>IF(+I14&lt;F69,I14,D70)</f>
        <v>0</v>
      </c>
      <c r="F70" s="163">
        <f t="shared" si="16"/>
        <v>0</v>
      </c>
      <c r="G70" s="165">
        <f t="shared" si="14"/>
        <v>0</v>
      </c>
      <c r="H70" s="147">
        <f t="shared" si="15"/>
        <v>0</v>
      </c>
      <c r="I70" s="160">
        <f t="shared" si="17"/>
        <v>0</v>
      </c>
      <c r="J70" s="160"/>
      <c r="K70" s="335"/>
      <c r="L70" s="162">
        <f t="shared" si="18"/>
        <v>0</v>
      </c>
      <c r="M70" s="335"/>
      <c r="N70" s="162">
        <f t="shared" si="19"/>
        <v>0</v>
      </c>
      <c r="O70" s="162">
        <f t="shared" si="20"/>
        <v>0</v>
      </c>
      <c r="P70" s="4"/>
    </row>
    <row r="71" spans="2:16">
      <c r="B71" s="9" t="str">
        <f t="shared" si="4"/>
        <v/>
      </c>
      <c r="C71" s="157">
        <f>IF(D11="","-",+C70+1)</f>
        <v>2060</v>
      </c>
      <c r="D71" s="163">
        <f>IF(F70+SUM(E$17:E70)=D$10,F70,D$10-SUM(E$17:E70))</f>
        <v>0</v>
      </c>
      <c r="E71" s="164">
        <f>IF(+I14&lt;F70,I14,D71)</f>
        <v>0</v>
      </c>
      <c r="F71" s="163">
        <f t="shared" si="16"/>
        <v>0</v>
      </c>
      <c r="G71" s="165">
        <f t="shared" si="14"/>
        <v>0</v>
      </c>
      <c r="H71" s="147">
        <f t="shared" si="15"/>
        <v>0</v>
      </c>
      <c r="I71" s="160">
        <f t="shared" si="17"/>
        <v>0</v>
      </c>
      <c r="J71" s="160"/>
      <c r="K71" s="335"/>
      <c r="L71" s="162">
        <f t="shared" si="18"/>
        <v>0</v>
      </c>
      <c r="M71" s="335"/>
      <c r="N71" s="162">
        <f t="shared" si="19"/>
        <v>0</v>
      </c>
      <c r="O71" s="162">
        <f t="shared" si="20"/>
        <v>0</v>
      </c>
      <c r="P71" s="4"/>
    </row>
    <row r="72" spans="2:16" ht="13.5" thickBot="1">
      <c r="B72" s="9" t="str">
        <f t="shared" si="4"/>
        <v/>
      </c>
      <c r="C72" s="168">
        <f>IF(D11="","-",+C71+1)</f>
        <v>2061</v>
      </c>
      <c r="D72" s="169">
        <f>IF(F71+SUM(E$17:E71)=D$10,F71,D$10-SUM(E$17:E71))</f>
        <v>0</v>
      </c>
      <c r="E72" s="170">
        <f>IF(+I14&lt;F71,I14,D72)</f>
        <v>0</v>
      </c>
      <c r="F72" s="169">
        <f t="shared" si="16"/>
        <v>0</v>
      </c>
      <c r="G72" s="169">
        <f t="shared" si="14"/>
        <v>0</v>
      </c>
      <c r="H72" s="169">
        <f t="shared" si="15"/>
        <v>0</v>
      </c>
      <c r="I72" s="172">
        <f t="shared" si="17"/>
        <v>0</v>
      </c>
      <c r="J72" s="160"/>
      <c r="K72" s="336"/>
      <c r="L72" s="173">
        <f t="shared" si="18"/>
        <v>0</v>
      </c>
      <c r="M72" s="336"/>
      <c r="N72" s="173">
        <f t="shared" si="19"/>
        <v>0</v>
      </c>
      <c r="O72" s="173">
        <f t="shared" si="20"/>
        <v>0</v>
      </c>
      <c r="P72" s="4"/>
    </row>
    <row r="73" spans="2:16">
      <c r="C73" s="158" t="s">
        <v>72</v>
      </c>
      <c r="D73" s="115"/>
      <c r="E73" s="115">
        <f>SUM(E17:E72)</f>
        <v>56133.000000000007</v>
      </c>
      <c r="F73" s="115"/>
      <c r="G73" s="115">
        <f>SUM(G17:G72)</f>
        <v>185400.82539703828</v>
      </c>
      <c r="H73" s="115">
        <f>SUM(H17:H72)</f>
        <v>185400.82539703828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4" t="str">
        <f ca="1">P1</f>
        <v>PSO Project 8 of 28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2018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6986.5540517513546</v>
      </c>
      <c r="N87" s="202">
        <f>IF(J92&lt;D11,0,VLOOKUP(J92,C17:O72,11))</f>
        <v>6986.5540517513546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5766.2406216754998</v>
      </c>
      <c r="N88" s="204">
        <f>IF(J92&lt;D11,0,VLOOKUP(J92,C99:P154,7))</f>
        <v>5766.2406216754998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Weleetka &amp; Okmulgee Wavetrap replacement 81-805*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-1220.3134300758547</v>
      </c>
      <c r="N89" s="207">
        <f>+N88-N87</f>
        <v>-1220.3134300758547</v>
      </c>
      <c r="O89" s="208">
        <f>+O88-O87</f>
        <v>0</v>
      </c>
      <c r="P89" s="1"/>
    </row>
    <row r="90" spans="1:16" ht="13.5" thickBot="1">
      <c r="C90" s="174"/>
      <c r="D90" s="177" t="str">
        <f>D8</f>
        <v>DOES NOT MEET SPP $100,000 MINIMUM INVESTMENT FOR REGIONAL BPU SHARING.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 t="str">
        <f>+D9</f>
        <v>TP2005046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138">
        <v>56133</v>
      </c>
      <c r="E92" s="22" t="s">
        <v>89</v>
      </c>
      <c r="H92" s="139"/>
      <c r="I92" s="139"/>
      <c r="J92" s="140">
        <f>+'PSO.WS.G.BPU.ATRR.True-up'!M16</f>
        <v>2018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2006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3</v>
      </c>
      <c r="E94" s="141" t="s">
        <v>51</v>
      </c>
      <c r="F94" s="139"/>
      <c r="G94" s="139"/>
      <c r="J94" s="145">
        <f>'PSO.WS.G.BPU.ATRR.True-up'!$F$81</f>
        <v>0.10273556682691798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43</v>
      </c>
      <c r="E95" s="141" t="s">
        <v>54</v>
      </c>
      <c r="F95" s="139"/>
      <c r="G95" s="139"/>
      <c r="J95" s="145">
        <f>IF(H87="",J94,'PSO.WS.G.BPU.ATRR.True-up'!$F$80)</f>
        <v>0.10273556682691798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1305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277</v>
      </c>
      <c r="I97" s="339" t="s">
        <v>278</v>
      </c>
      <c r="J97" s="214" t="s">
        <v>93</v>
      </c>
      <c r="K97" s="216"/>
      <c r="L97" s="339" t="s">
        <v>203</v>
      </c>
      <c r="M97" s="151" t="s">
        <v>94</v>
      </c>
      <c r="N97" s="339" t="s">
        <v>203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2006</v>
      </c>
      <c r="D99" s="366">
        <v>0</v>
      </c>
      <c r="E99" s="368">
        <v>0</v>
      </c>
      <c r="F99" s="371">
        <v>56133</v>
      </c>
      <c r="G99" s="373">
        <v>28067</v>
      </c>
      <c r="H99" s="374">
        <v>0</v>
      </c>
      <c r="I99" s="375">
        <v>0</v>
      </c>
      <c r="J99" s="162">
        <f t="shared" ref="J99:J130" si="21">+I99-H99</f>
        <v>0</v>
      </c>
      <c r="K99" s="162"/>
      <c r="L99" s="337">
        <v>0</v>
      </c>
      <c r="M99" s="161">
        <f t="shared" ref="M99:M130" si="22">IF(L99&lt;&gt;0,+H99-L99,0)</f>
        <v>0</v>
      </c>
      <c r="N99" s="337">
        <v>0</v>
      </c>
      <c r="O99" s="161">
        <f t="shared" ref="O99:O130" si="23">IF(N99&lt;&gt;0,+I99-N99,0)</f>
        <v>0</v>
      </c>
      <c r="P99" s="161">
        <f t="shared" ref="P99:P130" si="24">+O99-M99</f>
        <v>0</v>
      </c>
    </row>
    <row r="100" spans="1:16">
      <c r="B100" s="9" t="str">
        <f>IF(D100=F99,"","IU")</f>
        <v/>
      </c>
      <c r="C100" s="157">
        <f>IF(D93="","-",+C99+1)</f>
        <v>2007</v>
      </c>
      <c r="D100" s="366">
        <v>56133</v>
      </c>
      <c r="E100" s="368">
        <v>1059</v>
      </c>
      <c r="F100" s="371">
        <v>55074</v>
      </c>
      <c r="G100" s="371">
        <v>55603</v>
      </c>
      <c r="H100" s="368">
        <v>0</v>
      </c>
      <c r="I100" s="370">
        <v>0</v>
      </c>
      <c r="J100" s="162">
        <f t="shared" si="21"/>
        <v>0</v>
      </c>
      <c r="K100" s="162"/>
      <c r="L100" s="338">
        <v>0</v>
      </c>
      <c r="M100" s="162">
        <f t="shared" si="22"/>
        <v>0</v>
      </c>
      <c r="N100" s="338">
        <v>0</v>
      </c>
      <c r="O100" s="162">
        <f t="shared" si="23"/>
        <v>0</v>
      </c>
      <c r="P100" s="162">
        <f t="shared" si="24"/>
        <v>0</v>
      </c>
    </row>
    <row r="101" spans="1:16">
      <c r="B101" s="9" t="str">
        <f t="shared" ref="B101:B154" si="25">IF(D101=F100,"","IU")</f>
        <v/>
      </c>
      <c r="C101" s="157">
        <f>IF(D93="","-",+C100+1)</f>
        <v>2008</v>
      </c>
      <c r="D101" s="366">
        <v>55074</v>
      </c>
      <c r="E101" s="368">
        <v>1059</v>
      </c>
      <c r="F101" s="371">
        <v>54015</v>
      </c>
      <c r="G101" s="371">
        <v>54544</v>
      </c>
      <c r="H101" s="368">
        <v>9723</v>
      </c>
      <c r="I101" s="370">
        <v>9723</v>
      </c>
      <c r="J101" s="162">
        <f t="shared" si="21"/>
        <v>0</v>
      </c>
      <c r="K101" s="162"/>
      <c r="L101" s="338">
        <v>9723</v>
      </c>
      <c r="M101" s="162">
        <f t="shared" si="22"/>
        <v>0</v>
      </c>
      <c r="N101" s="338">
        <v>9723</v>
      </c>
      <c r="O101" s="162">
        <f t="shared" si="23"/>
        <v>0</v>
      </c>
      <c r="P101" s="162">
        <f t="shared" si="24"/>
        <v>0</v>
      </c>
    </row>
    <row r="102" spans="1:16">
      <c r="B102" s="9" t="str">
        <f t="shared" si="25"/>
        <v/>
      </c>
      <c r="C102" s="157">
        <f>IF(D93="","-",+C101+1)</f>
        <v>2009</v>
      </c>
      <c r="D102" s="366">
        <v>54015</v>
      </c>
      <c r="E102" s="368">
        <v>1002</v>
      </c>
      <c r="F102" s="371">
        <v>53013</v>
      </c>
      <c r="G102" s="371">
        <v>53514</v>
      </c>
      <c r="H102" s="368">
        <v>8826.1899911613018</v>
      </c>
      <c r="I102" s="370">
        <v>8826.1899911613018</v>
      </c>
      <c r="J102" s="162">
        <f t="shared" si="21"/>
        <v>0</v>
      </c>
      <c r="K102" s="162"/>
      <c r="L102" s="380">
        <f t="shared" ref="L102:L107" si="26">H102</f>
        <v>8826.1899911613018</v>
      </c>
      <c r="M102" s="381">
        <f t="shared" si="22"/>
        <v>0</v>
      </c>
      <c r="N102" s="380">
        <f t="shared" ref="N102:N107" si="27">I102</f>
        <v>8826.1899911613018</v>
      </c>
      <c r="O102" s="162">
        <f t="shared" si="23"/>
        <v>0</v>
      </c>
      <c r="P102" s="162">
        <f t="shared" si="24"/>
        <v>0</v>
      </c>
    </row>
    <row r="103" spans="1:16">
      <c r="B103" s="9" t="str">
        <f t="shared" si="25"/>
        <v/>
      </c>
      <c r="C103" s="157">
        <f>IF(D93="","-",+C102+1)</f>
        <v>2010</v>
      </c>
      <c r="D103" s="366">
        <v>53013</v>
      </c>
      <c r="E103" s="368">
        <v>1101</v>
      </c>
      <c r="F103" s="371">
        <v>51912</v>
      </c>
      <c r="G103" s="371">
        <v>52462.5</v>
      </c>
      <c r="H103" s="368">
        <v>9537.7685710444202</v>
      </c>
      <c r="I103" s="370">
        <v>9537.7685710444202</v>
      </c>
      <c r="J103" s="162">
        <f t="shared" si="21"/>
        <v>0</v>
      </c>
      <c r="K103" s="162"/>
      <c r="L103" s="380">
        <f t="shared" si="26"/>
        <v>9537.7685710444202</v>
      </c>
      <c r="M103" s="381">
        <f t="shared" si="22"/>
        <v>0</v>
      </c>
      <c r="N103" s="380">
        <f t="shared" si="27"/>
        <v>9537.7685710444202</v>
      </c>
      <c r="O103" s="162">
        <f t="shared" si="23"/>
        <v>0</v>
      </c>
      <c r="P103" s="162">
        <f t="shared" si="24"/>
        <v>0</v>
      </c>
    </row>
    <row r="104" spans="1:16">
      <c r="B104" s="9" t="str">
        <f t="shared" si="25"/>
        <v/>
      </c>
      <c r="C104" s="157">
        <f>IF(D93="","-",+C103+1)</f>
        <v>2011</v>
      </c>
      <c r="D104" s="366">
        <v>51912</v>
      </c>
      <c r="E104" s="368">
        <v>1079</v>
      </c>
      <c r="F104" s="371">
        <v>50833</v>
      </c>
      <c r="G104" s="371">
        <v>51372.5</v>
      </c>
      <c r="H104" s="368">
        <v>8261.5658402233203</v>
      </c>
      <c r="I104" s="370">
        <v>8261.5658402233203</v>
      </c>
      <c r="J104" s="162">
        <f t="shared" si="21"/>
        <v>0</v>
      </c>
      <c r="K104" s="162"/>
      <c r="L104" s="380">
        <f t="shared" si="26"/>
        <v>8261.5658402233203</v>
      </c>
      <c r="M104" s="381">
        <f t="shared" si="22"/>
        <v>0</v>
      </c>
      <c r="N104" s="380">
        <f t="shared" si="27"/>
        <v>8261.5658402233203</v>
      </c>
      <c r="O104" s="162">
        <f t="shared" si="23"/>
        <v>0</v>
      </c>
      <c r="P104" s="162">
        <f t="shared" si="24"/>
        <v>0</v>
      </c>
    </row>
    <row r="105" spans="1:16">
      <c r="B105" s="9" t="str">
        <f t="shared" si="25"/>
        <v/>
      </c>
      <c r="C105" s="157">
        <f>IF(D93="","-",+C104+1)</f>
        <v>2012</v>
      </c>
      <c r="D105" s="366">
        <v>50833</v>
      </c>
      <c r="E105" s="368">
        <v>1079</v>
      </c>
      <c r="F105" s="371">
        <v>49754</v>
      </c>
      <c r="G105" s="371">
        <v>50293.5</v>
      </c>
      <c r="H105" s="368">
        <v>8313.995673781943</v>
      </c>
      <c r="I105" s="370">
        <v>8313.995673781943</v>
      </c>
      <c r="J105" s="162">
        <v>0</v>
      </c>
      <c r="K105" s="162"/>
      <c r="L105" s="380">
        <f t="shared" si="26"/>
        <v>8313.995673781943</v>
      </c>
      <c r="M105" s="381">
        <f t="shared" ref="M105:M110" si="28">IF(L105&lt;&gt;0,+H105-L105,0)</f>
        <v>0</v>
      </c>
      <c r="N105" s="380">
        <f t="shared" si="27"/>
        <v>8313.995673781943</v>
      </c>
      <c r="O105" s="162">
        <f t="shared" ref="O105:O110" si="29">IF(N105&lt;&gt;0,+I105-N105,0)</f>
        <v>0</v>
      </c>
      <c r="P105" s="162">
        <f t="shared" ref="P105:P110" si="30">+O105-M105</f>
        <v>0</v>
      </c>
    </row>
    <row r="106" spans="1:16">
      <c r="B106" s="9" t="str">
        <f t="shared" si="25"/>
        <v/>
      </c>
      <c r="C106" s="157">
        <f>IF(D93="","-",+C105+1)</f>
        <v>2013</v>
      </c>
      <c r="D106" s="366">
        <v>49754</v>
      </c>
      <c r="E106" s="368">
        <v>1079</v>
      </c>
      <c r="F106" s="371">
        <v>48675</v>
      </c>
      <c r="G106" s="371">
        <v>49214.5</v>
      </c>
      <c r="H106" s="368">
        <v>8162.9151459393179</v>
      </c>
      <c r="I106" s="370">
        <v>8162.9151459393179</v>
      </c>
      <c r="J106" s="162">
        <v>0</v>
      </c>
      <c r="K106" s="162"/>
      <c r="L106" s="380">
        <f t="shared" si="26"/>
        <v>8162.9151459393179</v>
      </c>
      <c r="M106" s="381">
        <f t="shared" si="28"/>
        <v>0</v>
      </c>
      <c r="N106" s="380">
        <f t="shared" si="27"/>
        <v>8162.9151459393179</v>
      </c>
      <c r="O106" s="162">
        <f t="shared" si="29"/>
        <v>0</v>
      </c>
      <c r="P106" s="162">
        <f t="shared" si="30"/>
        <v>0</v>
      </c>
    </row>
    <row r="107" spans="1:16">
      <c r="B107" s="9" t="str">
        <f t="shared" si="25"/>
        <v/>
      </c>
      <c r="C107" s="157">
        <f>IF(D93="","-",+C106+1)</f>
        <v>2014</v>
      </c>
      <c r="D107" s="366">
        <v>48675</v>
      </c>
      <c r="E107" s="368">
        <v>1079</v>
      </c>
      <c r="F107" s="371">
        <v>47596</v>
      </c>
      <c r="G107" s="371">
        <v>48135.5</v>
      </c>
      <c r="H107" s="368">
        <v>7846.6545337569178</v>
      </c>
      <c r="I107" s="370">
        <v>7846.6545337569178</v>
      </c>
      <c r="J107" s="162">
        <v>0</v>
      </c>
      <c r="K107" s="162"/>
      <c r="L107" s="380">
        <f t="shared" si="26"/>
        <v>7846.6545337569178</v>
      </c>
      <c r="M107" s="381">
        <f t="shared" si="28"/>
        <v>0</v>
      </c>
      <c r="N107" s="380">
        <f t="shared" si="27"/>
        <v>7846.6545337569178</v>
      </c>
      <c r="O107" s="162">
        <f t="shared" si="29"/>
        <v>0</v>
      </c>
      <c r="P107" s="162">
        <f t="shared" si="30"/>
        <v>0</v>
      </c>
    </row>
    <row r="108" spans="1:16">
      <c r="B108" s="9" t="str">
        <f t="shared" si="25"/>
        <v/>
      </c>
      <c r="C108" s="157">
        <f>IF(D93="","-",+C107+1)</f>
        <v>2015</v>
      </c>
      <c r="D108" s="366">
        <v>47596</v>
      </c>
      <c r="E108" s="368">
        <v>1079</v>
      </c>
      <c r="F108" s="371">
        <v>46517</v>
      </c>
      <c r="G108" s="371">
        <v>47056.5</v>
      </c>
      <c r="H108" s="368">
        <v>7499.4810720950254</v>
      </c>
      <c r="I108" s="370">
        <v>7499.4810720950254</v>
      </c>
      <c r="J108" s="162">
        <f t="shared" si="21"/>
        <v>0</v>
      </c>
      <c r="K108" s="162"/>
      <c r="L108" s="380">
        <f>H108</f>
        <v>7499.4810720950254</v>
      </c>
      <c r="M108" s="381">
        <f t="shared" si="28"/>
        <v>0</v>
      </c>
      <c r="N108" s="380">
        <f>I108</f>
        <v>7499.4810720950254</v>
      </c>
      <c r="O108" s="162">
        <f t="shared" si="29"/>
        <v>0</v>
      </c>
      <c r="P108" s="162">
        <f t="shared" si="30"/>
        <v>0</v>
      </c>
    </row>
    <row r="109" spans="1:16">
      <c r="B109" s="9" t="str">
        <f t="shared" si="25"/>
        <v/>
      </c>
      <c r="C109" s="157">
        <f>IF(D93="","-",+C108+1)</f>
        <v>2016</v>
      </c>
      <c r="D109" s="366">
        <v>46517</v>
      </c>
      <c r="E109" s="368">
        <v>1220</v>
      </c>
      <c r="F109" s="371">
        <v>45297</v>
      </c>
      <c r="G109" s="371">
        <v>45907</v>
      </c>
      <c r="H109" s="368">
        <v>7138.135283574793</v>
      </c>
      <c r="I109" s="370">
        <v>7138.135283574793</v>
      </c>
      <c r="J109" s="162">
        <v>0</v>
      </c>
      <c r="K109" s="162"/>
      <c r="L109" s="380">
        <f>H109</f>
        <v>7138.135283574793</v>
      </c>
      <c r="M109" s="381">
        <f t="shared" si="28"/>
        <v>0</v>
      </c>
      <c r="N109" s="380">
        <f>I109</f>
        <v>7138.135283574793</v>
      </c>
      <c r="O109" s="162">
        <f t="shared" si="29"/>
        <v>0</v>
      </c>
      <c r="P109" s="162">
        <f t="shared" si="30"/>
        <v>0</v>
      </c>
    </row>
    <row r="110" spans="1:16">
      <c r="B110" s="9" t="str">
        <f t="shared" si="25"/>
        <v/>
      </c>
      <c r="C110" s="157">
        <f>IF(D93="","-",+C109+1)</f>
        <v>2017</v>
      </c>
      <c r="D110" s="366">
        <v>45297</v>
      </c>
      <c r="E110" s="368">
        <v>1220</v>
      </c>
      <c r="F110" s="371">
        <v>44077</v>
      </c>
      <c r="G110" s="371">
        <v>44687</v>
      </c>
      <c r="H110" s="368">
        <v>6888.6586283105316</v>
      </c>
      <c r="I110" s="370">
        <v>6888.6586283105316</v>
      </c>
      <c r="J110" s="162">
        <f t="shared" si="21"/>
        <v>0</v>
      </c>
      <c r="K110" s="162"/>
      <c r="L110" s="380">
        <f>H110</f>
        <v>6888.6586283105316</v>
      </c>
      <c r="M110" s="381">
        <f t="shared" si="28"/>
        <v>0</v>
      </c>
      <c r="N110" s="380">
        <f>I110</f>
        <v>6888.6586283105316</v>
      </c>
      <c r="O110" s="162">
        <f t="shared" si="29"/>
        <v>0</v>
      </c>
      <c r="P110" s="162">
        <f t="shared" si="30"/>
        <v>0</v>
      </c>
    </row>
    <row r="111" spans="1:16">
      <c r="B111" s="9" t="str">
        <f t="shared" si="25"/>
        <v/>
      </c>
      <c r="C111" s="157">
        <f>IF(D93="","-",+C110+1)</f>
        <v>2018</v>
      </c>
      <c r="D111" s="158">
        <f>IF(F110+SUM(E$99:E110)=D$92,F110,D$92-SUM(E$99:E110))</f>
        <v>44077</v>
      </c>
      <c r="E111" s="165">
        <f>IF(+J96&lt;F110,J96,D111)</f>
        <v>1305</v>
      </c>
      <c r="F111" s="163">
        <f t="shared" ref="F111:F130" si="31">+D111-E111</f>
        <v>42772</v>
      </c>
      <c r="G111" s="163">
        <f t="shared" ref="G111:G130" si="32">+(F111+D111)/2</f>
        <v>43424.5</v>
      </c>
      <c r="H111" s="167">
        <f t="shared" ref="H111:H154" si="33">+J$94*G111+E111</f>
        <v>5766.2406216754998</v>
      </c>
      <c r="I111" s="317">
        <f t="shared" ref="I111:I154" si="34">+J$95*G111+E111</f>
        <v>5766.2406216754998</v>
      </c>
      <c r="J111" s="162">
        <f t="shared" si="21"/>
        <v>0</v>
      </c>
      <c r="K111" s="162"/>
      <c r="L111" s="335"/>
      <c r="M111" s="162">
        <f t="shared" si="22"/>
        <v>0</v>
      </c>
      <c r="N111" s="335"/>
      <c r="O111" s="162">
        <f t="shared" si="23"/>
        <v>0</v>
      </c>
      <c r="P111" s="162">
        <f t="shared" si="24"/>
        <v>0</v>
      </c>
    </row>
    <row r="112" spans="1:16">
      <c r="B112" s="9" t="str">
        <f t="shared" si="25"/>
        <v/>
      </c>
      <c r="C112" s="157">
        <f>IF(D93="","-",+C111+1)</f>
        <v>2019</v>
      </c>
      <c r="D112" s="158">
        <f>IF(F111+SUM(E$99:E111)=D$92,F111,D$92-SUM(E$99:E111))</f>
        <v>42772</v>
      </c>
      <c r="E112" s="165">
        <f>IF(+J96&lt;F111,J96,D112)</f>
        <v>1305</v>
      </c>
      <c r="F112" s="163">
        <f t="shared" si="31"/>
        <v>41467</v>
      </c>
      <c r="G112" s="163">
        <f t="shared" si="32"/>
        <v>42119.5</v>
      </c>
      <c r="H112" s="167">
        <f t="shared" si="33"/>
        <v>5632.1707069663717</v>
      </c>
      <c r="I112" s="317">
        <f t="shared" si="34"/>
        <v>5632.1707069663717</v>
      </c>
      <c r="J112" s="162">
        <f t="shared" si="21"/>
        <v>0</v>
      </c>
      <c r="K112" s="162"/>
      <c r="L112" s="335"/>
      <c r="M112" s="162">
        <f t="shared" si="22"/>
        <v>0</v>
      </c>
      <c r="N112" s="335"/>
      <c r="O112" s="162">
        <f t="shared" si="23"/>
        <v>0</v>
      </c>
      <c r="P112" s="162">
        <f t="shared" si="24"/>
        <v>0</v>
      </c>
    </row>
    <row r="113" spans="2:16">
      <c r="B113" s="9" t="str">
        <f t="shared" si="25"/>
        <v/>
      </c>
      <c r="C113" s="157">
        <f>IF(D93="","-",+C112+1)</f>
        <v>2020</v>
      </c>
      <c r="D113" s="158">
        <f>IF(F112+SUM(E$99:E112)=D$92,F112,D$92-SUM(E$99:E112))</f>
        <v>41467</v>
      </c>
      <c r="E113" s="165">
        <f>IF(+J96&lt;F112,J96,D113)</f>
        <v>1305</v>
      </c>
      <c r="F113" s="163">
        <f t="shared" si="31"/>
        <v>40162</v>
      </c>
      <c r="G113" s="163">
        <f t="shared" si="32"/>
        <v>40814.5</v>
      </c>
      <c r="H113" s="167">
        <f t="shared" si="33"/>
        <v>5498.1007922572435</v>
      </c>
      <c r="I113" s="317">
        <f t="shared" si="34"/>
        <v>5498.1007922572435</v>
      </c>
      <c r="J113" s="162">
        <f t="shared" si="21"/>
        <v>0</v>
      </c>
      <c r="K113" s="162"/>
      <c r="L113" s="335"/>
      <c r="M113" s="162">
        <f t="shared" si="22"/>
        <v>0</v>
      </c>
      <c r="N113" s="335"/>
      <c r="O113" s="162">
        <f t="shared" si="23"/>
        <v>0</v>
      </c>
      <c r="P113" s="162">
        <f t="shared" si="24"/>
        <v>0</v>
      </c>
    </row>
    <row r="114" spans="2:16">
      <c r="B114" s="9" t="str">
        <f t="shared" si="25"/>
        <v/>
      </c>
      <c r="C114" s="157">
        <f>IF(D93="","-",+C113+1)</f>
        <v>2021</v>
      </c>
      <c r="D114" s="158">
        <f>IF(F113+SUM(E$99:E113)=D$92,F113,D$92-SUM(E$99:E113))</f>
        <v>40162</v>
      </c>
      <c r="E114" s="165">
        <f>IF(+J96&lt;F113,J96,D114)</f>
        <v>1305</v>
      </c>
      <c r="F114" s="163">
        <f t="shared" si="31"/>
        <v>38857</v>
      </c>
      <c r="G114" s="163">
        <f t="shared" si="32"/>
        <v>39509.5</v>
      </c>
      <c r="H114" s="167">
        <f t="shared" si="33"/>
        <v>5364.0308775481153</v>
      </c>
      <c r="I114" s="317">
        <f t="shared" si="34"/>
        <v>5364.0308775481153</v>
      </c>
      <c r="J114" s="162">
        <f t="shared" si="21"/>
        <v>0</v>
      </c>
      <c r="K114" s="162"/>
      <c r="L114" s="335"/>
      <c r="M114" s="162">
        <f t="shared" si="22"/>
        <v>0</v>
      </c>
      <c r="N114" s="335"/>
      <c r="O114" s="162">
        <f t="shared" si="23"/>
        <v>0</v>
      </c>
      <c r="P114" s="162">
        <f t="shared" si="24"/>
        <v>0</v>
      </c>
    </row>
    <row r="115" spans="2:16">
      <c r="B115" s="9" t="str">
        <f t="shared" si="25"/>
        <v/>
      </c>
      <c r="C115" s="157">
        <f>IF(D93="","-",+C114+1)</f>
        <v>2022</v>
      </c>
      <c r="D115" s="158">
        <f>IF(F114+SUM(E$99:E114)=D$92,F114,D$92-SUM(E$99:E114))</f>
        <v>38857</v>
      </c>
      <c r="E115" s="165">
        <f>IF(+J96&lt;F114,J96,D115)</f>
        <v>1305</v>
      </c>
      <c r="F115" s="163">
        <f t="shared" si="31"/>
        <v>37552</v>
      </c>
      <c r="G115" s="163">
        <f t="shared" si="32"/>
        <v>38204.5</v>
      </c>
      <c r="H115" s="167">
        <f t="shared" si="33"/>
        <v>5229.9609628389881</v>
      </c>
      <c r="I115" s="317">
        <f t="shared" si="34"/>
        <v>5229.9609628389881</v>
      </c>
      <c r="J115" s="162">
        <f t="shared" si="21"/>
        <v>0</v>
      </c>
      <c r="K115" s="162"/>
      <c r="L115" s="335"/>
      <c r="M115" s="162">
        <f t="shared" si="22"/>
        <v>0</v>
      </c>
      <c r="N115" s="335"/>
      <c r="O115" s="162">
        <f t="shared" si="23"/>
        <v>0</v>
      </c>
      <c r="P115" s="162">
        <f t="shared" si="24"/>
        <v>0</v>
      </c>
    </row>
    <row r="116" spans="2:16">
      <c r="B116" s="9" t="str">
        <f t="shared" si="25"/>
        <v/>
      </c>
      <c r="C116" s="157">
        <f>IF(D93="","-",+C115+1)</f>
        <v>2023</v>
      </c>
      <c r="D116" s="158">
        <f>IF(F115+SUM(E$99:E115)=D$92,F115,D$92-SUM(E$99:E115))</f>
        <v>37552</v>
      </c>
      <c r="E116" s="165">
        <f>IF(+J96&lt;F115,J96,D116)</f>
        <v>1305</v>
      </c>
      <c r="F116" s="163">
        <f t="shared" si="31"/>
        <v>36247</v>
      </c>
      <c r="G116" s="163">
        <f t="shared" si="32"/>
        <v>36899.5</v>
      </c>
      <c r="H116" s="167">
        <f t="shared" si="33"/>
        <v>5095.8910481298599</v>
      </c>
      <c r="I116" s="317">
        <f t="shared" si="34"/>
        <v>5095.8910481298599</v>
      </c>
      <c r="J116" s="162">
        <f t="shared" si="21"/>
        <v>0</v>
      </c>
      <c r="K116" s="162"/>
      <c r="L116" s="335"/>
      <c r="M116" s="162">
        <f t="shared" si="22"/>
        <v>0</v>
      </c>
      <c r="N116" s="335"/>
      <c r="O116" s="162">
        <f t="shared" si="23"/>
        <v>0</v>
      </c>
      <c r="P116" s="162">
        <f t="shared" si="24"/>
        <v>0</v>
      </c>
    </row>
    <row r="117" spans="2:16">
      <c r="B117" s="9" t="str">
        <f t="shared" si="25"/>
        <v/>
      </c>
      <c r="C117" s="157">
        <f>IF(D93="","-",+C116+1)</f>
        <v>2024</v>
      </c>
      <c r="D117" s="158">
        <f>IF(F116+SUM(E$99:E116)=D$92,F116,D$92-SUM(E$99:E116))</f>
        <v>36247</v>
      </c>
      <c r="E117" s="165">
        <f>IF(+J96&lt;F116,J96,D117)</f>
        <v>1305</v>
      </c>
      <c r="F117" s="163">
        <f t="shared" si="31"/>
        <v>34942</v>
      </c>
      <c r="G117" s="163">
        <f t="shared" si="32"/>
        <v>35594.5</v>
      </c>
      <c r="H117" s="167">
        <f t="shared" si="33"/>
        <v>4961.8211334207317</v>
      </c>
      <c r="I117" s="317">
        <f t="shared" si="34"/>
        <v>4961.8211334207317</v>
      </c>
      <c r="J117" s="162">
        <f t="shared" si="21"/>
        <v>0</v>
      </c>
      <c r="K117" s="162"/>
      <c r="L117" s="335"/>
      <c r="M117" s="162">
        <f t="shared" si="22"/>
        <v>0</v>
      </c>
      <c r="N117" s="335"/>
      <c r="O117" s="162">
        <f t="shared" si="23"/>
        <v>0</v>
      </c>
      <c r="P117" s="162">
        <f t="shared" si="24"/>
        <v>0</v>
      </c>
    </row>
    <row r="118" spans="2:16">
      <c r="B118" s="9" t="str">
        <f t="shared" si="25"/>
        <v/>
      </c>
      <c r="C118" s="157">
        <f>IF(D93="","-",+C117+1)</f>
        <v>2025</v>
      </c>
      <c r="D118" s="158">
        <f>IF(F117+SUM(E$99:E117)=D$92,F117,D$92-SUM(E$99:E117))</f>
        <v>34942</v>
      </c>
      <c r="E118" s="165">
        <f>IF(+J96&lt;F117,J96,D118)</f>
        <v>1305</v>
      </c>
      <c r="F118" s="163">
        <f t="shared" si="31"/>
        <v>33637</v>
      </c>
      <c r="G118" s="163">
        <f t="shared" si="32"/>
        <v>34289.5</v>
      </c>
      <c r="H118" s="167">
        <f t="shared" si="33"/>
        <v>4827.7512187116045</v>
      </c>
      <c r="I118" s="317">
        <f t="shared" si="34"/>
        <v>4827.7512187116045</v>
      </c>
      <c r="J118" s="162">
        <f t="shared" si="21"/>
        <v>0</v>
      </c>
      <c r="K118" s="162"/>
      <c r="L118" s="335"/>
      <c r="M118" s="162">
        <f t="shared" si="22"/>
        <v>0</v>
      </c>
      <c r="N118" s="335"/>
      <c r="O118" s="162">
        <f t="shared" si="23"/>
        <v>0</v>
      </c>
      <c r="P118" s="162">
        <f t="shared" si="24"/>
        <v>0</v>
      </c>
    </row>
    <row r="119" spans="2:16">
      <c r="B119" s="9" t="str">
        <f t="shared" si="25"/>
        <v/>
      </c>
      <c r="C119" s="157">
        <f>IF(D93="","-",+C118+1)</f>
        <v>2026</v>
      </c>
      <c r="D119" s="158">
        <f>IF(F118+SUM(E$99:E118)=D$92,F118,D$92-SUM(E$99:E118))</f>
        <v>33637</v>
      </c>
      <c r="E119" s="165">
        <f>IF(+J96&lt;F118,J96,D119)</f>
        <v>1305</v>
      </c>
      <c r="F119" s="163">
        <f t="shared" si="31"/>
        <v>32332</v>
      </c>
      <c r="G119" s="163">
        <f t="shared" si="32"/>
        <v>32984.5</v>
      </c>
      <c r="H119" s="167">
        <f t="shared" si="33"/>
        <v>4693.6813040024763</v>
      </c>
      <c r="I119" s="317">
        <f t="shared" si="34"/>
        <v>4693.6813040024763</v>
      </c>
      <c r="J119" s="162">
        <f t="shared" si="21"/>
        <v>0</v>
      </c>
      <c r="K119" s="162"/>
      <c r="L119" s="335"/>
      <c r="M119" s="162">
        <f t="shared" si="22"/>
        <v>0</v>
      </c>
      <c r="N119" s="335"/>
      <c r="O119" s="162">
        <f t="shared" si="23"/>
        <v>0</v>
      </c>
      <c r="P119" s="162">
        <f t="shared" si="24"/>
        <v>0</v>
      </c>
    </row>
    <row r="120" spans="2:16">
      <c r="B120" s="9" t="str">
        <f t="shared" si="25"/>
        <v/>
      </c>
      <c r="C120" s="157">
        <f>IF(D93="","-",+C119+1)</f>
        <v>2027</v>
      </c>
      <c r="D120" s="158">
        <f>IF(F119+SUM(E$99:E119)=D$92,F119,D$92-SUM(E$99:E119))</f>
        <v>32332</v>
      </c>
      <c r="E120" s="165">
        <f>IF(+J96&lt;F119,J96,D120)</f>
        <v>1305</v>
      </c>
      <c r="F120" s="163">
        <f t="shared" si="31"/>
        <v>31027</v>
      </c>
      <c r="G120" s="163">
        <f t="shared" si="32"/>
        <v>31679.5</v>
      </c>
      <c r="H120" s="167">
        <f t="shared" si="33"/>
        <v>4559.6113892933481</v>
      </c>
      <c r="I120" s="317">
        <f t="shared" si="34"/>
        <v>4559.6113892933481</v>
      </c>
      <c r="J120" s="162">
        <f t="shared" si="21"/>
        <v>0</v>
      </c>
      <c r="K120" s="162"/>
      <c r="L120" s="335"/>
      <c r="M120" s="162">
        <f t="shared" si="22"/>
        <v>0</v>
      </c>
      <c r="N120" s="335"/>
      <c r="O120" s="162">
        <f t="shared" si="23"/>
        <v>0</v>
      </c>
      <c r="P120" s="162">
        <f t="shared" si="24"/>
        <v>0</v>
      </c>
    </row>
    <row r="121" spans="2:16">
      <c r="B121" s="9" t="str">
        <f t="shared" si="25"/>
        <v/>
      </c>
      <c r="C121" s="157">
        <f>IF(D93="","-",+C120+1)</f>
        <v>2028</v>
      </c>
      <c r="D121" s="158">
        <f>IF(F120+SUM(E$99:E120)=D$92,F120,D$92-SUM(E$99:E120))</f>
        <v>31027</v>
      </c>
      <c r="E121" s="165">
        <f>IF(+J96&lt;F120,J96,D121)</f>
        <v>1305</v>
      </c>
      <c r="F121" s="163">
        <f t="shared" si="31"/>
        <v>29722</v>
      </c>
      <c r="G121" s="163">
        <f t="shared" si="32"/>
        <v>30374.5</v>
      </c>
      <c r="H121" s="167">
        <f t="shared" si="33"/>
        <v>4425.5414745842199</v>
      </c>
      <c r="I121" s="317">
        <f t="shared" si="34"/>
        <v>4425.5414745842199</v>
      </c>
      <c r="J121" s="162">
        <f t="shared" si="21"/>
        <v>0</v>
      </c>
      <c r="K121" s="162"/>
      <c r="L121" s="335"/>
      <c r="M121" s="162">
        <f t="shared" si="22"/>
        <v>0</v>
      </c>
      <c r="N121" s="335"/>
      <c r="O121" s="162">
        <f t="shared" si="23"/>
        <v>0</v>
      </c>
      <c r="P121" s="162">
        <f t="shared" si="24"/>
        <v>0</v>
      </c>
    </row>
    <row r="122" spans="2:16">
      <c r="B122" s="9" t="str">
        <f t="shared" si="25"/>
        <v/>
      </c>
      <c r="C122" s="157">
        <f>IF(D93="","-",+C121+1)</f>
        <v>2029</v>
      </c>
      <c r="D122" s="158">
        <f>IF(F121+SUM(E$99:E121)=D$92,F121,D$92-SUM(E$99:E121))</f>
        <v>29722</v>
      </c>
      <c r="E122" s="165">
        <f>IF(+J96&lt;F121,J96,D122)</f>
        <v>1305</v>
      </c>
      <c r="F122" s="163">
        <f t="shared" si="31"/>
        <v>28417</v>
      </c>
      <c r="G122" s="163">
        <f t="shared" si="32"/>
        <v>29069.5</v>
      </c>
      <c r="H122" s="167">
        <f t="shared" si="33"/>
        <v>4291.4715598750918</v>
      </c>
      <c r="I122" s="317">
        <f t="shared" si="34"/>
        <v>4291.4715598750918</v>
      </c>
      <c r="J122" s="162">
        <f t="shared" si="21"/>
        <v>0</v>
      </c>
      <c r="K122" s="162"/>
      <c r="L122" s="335"/>
      <c r="M122" s="162">
        <f t="shared" si="22"/>
        <v>0</v>
      </c>
      <c r="N122" s="335"/>
      <c r="O122" s="162">
        <f t="shared" si="23"/>
        <v>0</v>
      </c>
      <c r="P122" s="162">
        <f t="shared" si="24"/>
        <v>0</v>
      </c>
    </row>
    <row r="123" spans="2:16">
      <c r="B123" s="9" t="str">
        <f t="shared" si="25"/>
        <v/>
      </c>
      <c r="C123" s="157">
        <f>IF(D93="","-",+C122+1)</f>
        <v>2030</v>
      </c>
      <c r="D123" s="158">
        <f>IF(F122+SUM(E$99:E122)=D$92,F122,D$92-SUM(E$99:E122))</f>
        <v>28417</v>
      </c>
      <c r="E123" s="165">
        <f>IF(+J96&lt;F122,J96,D123)</f>
        <v>1305</v>
      </c>
      <c r="F123" s="163">
        <f t="shared" si="31"/>
        <v>27112</v>
      </c>
      <c r="G123" s="163">
        <f t="shared" si="32"/>
        <v>27764.5</v>
      </c>
      <c r="H123" s="167">
        <f t="shared" si="33"/>
        <v>4157.4016451659645</v>
      </c>
      <c r="I123" s="317">
        <f t="shared" si="34"/>
        <v>4157.4016451659645</v>
      </c>
      <c r="J123" s="162">
        <f t="shared" si="21"/>
        <v>0</v>
      </c>
      <c r="K123" s="162"/>
      <c r="L123" s="335"/>
      <c r="M123" s="162">
        <f t="shared" si="22"/>
        <v>0</v>
      </c>
      <c r="N123" s="335"/>
      <c r="O123" s="162">
        <f t="shared" si="23"/>
        <v>0</v>
      </c>
      <c r="P123" s="162">
        <f t="shared" si="24"/>
        <v>0</v>
      </c>
    </row>
    <row r="124" spans="2:16">
      <c r="B124" s="9" t="str">
        <f t="shared" si="25"/>
        <v/>
      </c>
      <c r="C124" s="157">
        <f>IF(D93="","-",+C123+1)</f>
        <v>2031</v>
      </c>
      <c r="D124" s="158">
        <f>IF(F123+SUM(E$99:E123)=D$92,F123,D$92-SUM(E$99:E123))</f>
        <v>27112</v>
      </c>
      <c r="E124" s="165">
        <f>IF(+J96&lt;F123,J96,D124)</f>
        <v>1305</v>
      </c>
      <c r="F124" s="163">
        <f t="shared" si="31"/>
        <v>25807</v>
      </c>
      <c r="G124" s="163">
        <f t="shared" si="32"/>
        <v>26459.5</v>
      </c>
      <c r="H124" s="167">
        <f t="shared" si="33"/>
        <v>4023.3317304568363</v>
      </c>
      <c r="I124" s="317">
        <f t="shared" si="34"/>
        <v>4023.3317304568363</v>
      </c>
      <c r="J124" s="162">
        <f t="shared" si="21"/>
        <v>0</v>
      </c>
      <c r="K124" s="162"/>
      <c r="L124" s="335"/>
      <c r="M124" s="162">
        <f t="shared" si="22"/>
        <v>0</v>
      </c>
      <c r="N124" s="335"/>
      <c r="O124" s="162">
        <f t="shared" si="23"/>
        <v>0</v>
      </c>
      <c r="P124" s="162">
        <f t="shared" si="24"/>
        <v>0</v>
      </c>
    </row>
    <row r="125" spans="2:16">
      <c r="B125" s="9" t="str">
        <f t="shared" si="25"/>
        <v/>
      </c>
      <c r="C125" s="157">
        <f>IF(D93="","-",+C124+1)</f>
        <v>2032</v>
      </c>
      <c r="D125" s="158">
        <f>IF(F124+SUM(E$99:E124)=D$92,F124,D$92-SUM(E$99:E124))</f>
        <v>25807</v>
      </c>
      <c r="E125" s="165">
        <f>IF(+J96&lt;F124,J96,D125)</f>
        <v>1305</v>
      </c>
      <c r="F125" s="163">
        <f t="shared" si="31"/>
        <v>24502</v>
      </c>
      <c r="G125" s="163">
        <f t="shared" si="32"/>
        <v>25154.5</v>
      </c>
      <c r="H125" s="167">
        <f t="shared" si="33"/>
        <v>3889.2618157477082</v>
      </c>
      <c r="I125" s="317">
        <f t="shared" si="34"/>
        <v>3889.2618157477082</v>
      </c>
      <c r="J125" s="162">
        <f t="shared" si="21"/>
        <v>0</v>
      </c>
      <c r="K125" s="162"/>
      <c r="L125" s="335"/>
      <c r="M125" s="162">
        <f t="shared" si="22"/>
        <v>0</v>
      </c>
      <c r="N125" s="335"/>
      <c r="O125" s="162">
        <f t="shared" si="23"/>
        <v>0</v>
      </c>
      <c r="P125" s="162">
        <f t="shared" si="24"/>
        <v>0</v>
      </c>
    </row>
    <row r="126" spans="2:16">
      <c r="B126" s="9" t="str">
        <f t="shared" si="25"/>
        <v/>
      </c>
      <c r="C126" s="157">
        <f>IF(D93="","-",+C125+1)</f>
        <v>2033</v>
      </c>
      <c r="D126" s="158">
        <f>IF(F125+SUM(E$99:E125)=D$92,F125,D$92-SUM(E$99:E125))</f>
        <v>24502</v>
      </c>
      <c r="E126" s="165">
        <f>IF(+J96&lt;F125,J96,D126)</f>
        <v>1305</v>
      </c>
      <c r="F126" s="163">
        <f t="shared" si="31"/>
        <v>23197</v>
      </c>
      <c r="G126" s="163">
        <f t="shared" si="32"/>
        <v>23849.5</v>
      </c>
      <c r="H126" s="167">
        <f t="shared" si="33"/>
        <v>3755.1919010385805</v>
      </c>
      <c r="I126" s="317">
        <f t="shared" si="34"/>
        <v>3755.1919010385805</v>
      </c>
      <c r="J126" s="162">
        <f t="shared" si="21"/>
        <v>0</v>
      </c>
      <c r="K126" s="162"/>
      <c r="L126" s="335"/>
      <c r="M126" s="162">
        <f t="shared" si="22"/>
        <v>0</v>
      </c>
      <c r="N126" s="335"/>
      <c r="O126" s="162">
        <f t="shared" si="23"/>
        <v>0</v>
      </c>
      <c r="P126" s="162">
        <f t="shared" si="24"/>
        <v>0</v>
      </c>
    </row>
    <row r="127" spans="2:16">
      <c r="B127" s="9" t="str">
        <f t="shared" si="25"/>
        <v/>
      </c>
      <c r="C127" s="157">
        <f>IF(D93="","-",+C126+1)</f>
        <v>2034</v>
      </c>
      <c r="D127" s="158">
        <f>IF(F126+SUM(E$99:E126)=D$92,F126,D$92-SUM(E$99:E126))</f>
        <v>23197</v>
      </c>
      <c r="E127" s="165">
        <f>IF(+J96&lt;F126,J96,D127)</f>
        <v>1305</v>
      </c>
      <c r="F127" s="163">
        <f t="shared" si="31"/>
        <v>21892</v>
      </c>
      <c r="G127" s="163">
        <f t="shared" si="32"/>
        <v>22544.5</v>
      </c>
      <c r="H127" s="167">
        <f t="shared" si="33"/>
        <v>3621.1219863294523</v>
      </c>
      <c r="I127" s="317">
        <f t="shared" si="34"/>
        <v>3621.1219863294523</v>
      </c>
      <c r="J127" s="162">
        <f t="shared" si="21"/>
        <v>0</v>
      </c>
      <c r="K127" s="162"/>
      <c r="L127" s="335"/>
      <c r="M127" s="162">
        <f t="shared" si="22"/>
        <v>0</v>
      </c>
      <c r="N127" s="335"/>
      <c r="O127" s="162">
        <f t="shared" si="23"/>
        <v>0</v>
      </c>
      <c r="P127" s="162">
        <f t="shared" si="24"/>
        <v>0</v>
      </c>
    </row>
    <row r="128" spans="2:16">
      <c r="B128" s="9" t="str">
        <f t="shared" si="25"/>
        <v/>
      </c>
      <c r="C128" s="157">
        <f>IF(D93="","-",+C127+1)</f>
        <v>2035</v>
      </c>
      <c r="D128" s="158">
        <f>IF(F127+SUM(E$99:E127)=D$92,F127,D$92-SUM(E$99:E127))</f>
        <v>21892</v>
      </c>
      <c r="E128" s="165">
        <f>IF(+J96&lt;F127,J96,D128)</f>
        <v>1305</v>
      </c>
      <c r="F128" s="163">
        <f t="shared" si="31"/>
        <v>20587</v>
      </c>
      <c r="G128" s="163">
        <f t="shared" si="32"/>
        <v>21239.5</v>
      </c>
      <c r="H128" s="167">
        <f t="shared" si="33"/>
        <v>3487.0520716203246</v>
      </c>
      <c r="I128" s="317">
        <f t="shared" si="34"/>
        <v>3487.0520716203246</v>
      </c>
      <c r="J128" s="162">
        <f t="shared" si="21"/>
        <v>0</v>
      </c>
      <c r="K128" s="162"/>
      <c r="L128" s="335"/>
      <c r="M128" s="162">
        <f t="shared" si="22"/>
        <v>0</v>
      </c>
      <c r="N128" s="335"/>
      <c r="O128" s="162">
        <f t="shared" si="23"/>
        <v>0</v>
      </c>
      <c r="P128" s="162">
        <f t="shared" si="24"/>
        <v>0</v>
      </c>
    </row>
    <row r="129" spans="2:16">
      <c r="B129" s="9" t="str">
        <f t="shared" si="25"/>
        <v/>
      </c>
      <c r="C129" s="157">
        <f>IF(D93="","-",+C128+1)</f>
        <v>2036</v>
      </c>
      <c r="D129" s="158">
        <f>IF(F128+SUM(E$99:E128)=D$92,F128,D$92-SUM(E$99:E128))</f>
        <v>20587</v>
      </c>
      <c r="E129" s="165">
        <f>IF(+J96&lt;F128,J96,D129)</f>
        <v>1305</v>
      </c>
      <c r="F129" s="163">
        <f t="shared" si="31"/>
        <v>19282</v>
      </c>
      <c r="G129" s="163">
        <f t="shared" si="32"/>
        <v>19934.5</v>
      </c>
      <c r="H129" s="167">
        <f t="shared" si="33"/>
        <v>3352.9821569111964</v>
      </c>
      <c r="I129" s="317">
        <f t="shared" si="34"/>
        <v>3352.9821569111964</v>
      </c>
      <c r="J129" s="162">
        <f t="shared" si="21"/>
        <v>0</v>
      </c>
      <c r="K129" s="162"/>
      <c r="L129" s="335"/>
      <c r="M129" s="162">
        <f t="shared" si="22"/>
        <v>0</v>
      </c>
      <c r="N129" s="335"/>
      <c r="O129" s="162">
        <f t="shared" si="23"/>
        <v>0</v>
      </c>
      <c r="P129" s="162">
        <f t="shared" si="24"/>
        <v>0</v>
      </c>
    </row>
    <row r="130" spans="2:16">
      <c r="B130" s="9" t="str">
        <f t="shared" si="25"/>
        <v/>
      </c>
      <c r="C130" s="157">
        <f>IF(D93="","-",+C129+1)</f>
        <v>2037</v>
      </c>
      <c r="D130" s="158">
        <f>IF(F129+SUM(E$99:E129)=D$92,F129,D$92-SUM(E$99:E129))</f>
        <v>19282</v>
      </c>
      <c r="E130" s="165">
        <f>IF(+J96&lt;F129,J96,D130)</f>
        <v>1305</v>
      </c>
      <c r="F130" s="163">
        <f t="shared" si="31"/>
        <v>17977</v>
      </c>
      <c r="G130" s="163">
        <f t="shared" si="32"/>
        <v>18629.5</v>
      </c>
      <c r="H130" s="167">
        <f t="shared" si="33"/>
        <v>3218.9122422020682</v>
      </c>
      <c r="I130" s="317">
        <f t="shared" si="34"/>
        <v>3218.9122422020682</v>
      </c>
      <c r="J130" s="162">
        <f t="shared" si="21"/>
        <v>0</v>
      </c>
      <c r="K130" s="162"/>
      <c r="L130" s="335"/>
      <c r="M130" s="162">
        <f t="shared" si="22"/>
        <v>0</v>
      </c>
      <c r="N130" s="335"/>
      <c r="O130" s="162">
        <f t="shared" si="23"/>
        <v>0</v>
      </c>
      <c r="P130" s="162">
        <f t="shared" si="24"/>
        <v>0</v>
      </c>
    </row>
    <row r="131" spans="2:16">
      <c r="B131" s="9" t="str">
        <f t="shared" si="25"/>
        <v/>
      </c>
      <c r="C131" s="157">
        <f>IF(D93="","-",+C130+1)</f>
        <v>2038</v>
      </c>
      <c r="D131" s="158">
        <f>IF(F130+SUM(E$99:E130)=D$92,F130,D$92-SUM(E$99:E130))</f>
        <v>17977</v>
      </c>
      <c r="E131" s="165">
        <f>IF(+J96&lt;F130,J96,D131)</f>
        <v>1305</v>
      </c>
      <c r="F131" s="163">
        <f t="shared" ref="F131:F154" si="35">+D131-E131</f>
        <v>16672</v>
      </c>
      <c r="G131" s="163">
        <f t="shared" ref="G131:G154" si="36">+(F131+D131)/2</f>
        <v>17324.5</v>
      </c>
      <c r="H131" s="167">
        <f t="shared" si="33"/>
        <v>3084.8423274929405</v>
      </c>
      <c r="I131" s="317">
        <f t="shared" si="34"/>
        <v>3084.8423274929405</v>
      </c>
      <c r="J131" s="162">
        <f t="shared" ref="J131:J154" si="37">+I131-H131</f>
        <v>0</v>
      </c>
      <c r="K131" s="162"/>
      <c r="L131" s="335"/>
      <c r="M131" s="162">
        <f t="shared" ref="M131:M154" si="38">IF(L131&lt;&gt;0,+H131-L131,0)</f>
        <v>0</v>
      </c>
      <c r="N131" s="335"/>
      <c r="O131" s="162">
        <f t="shared" ref="O131:O154" si="39">IF(N131&lt;&gt;0,+I131-N131,0)</f>
        <v>0</v>
      </c>
      <c r="P131" s="162">
        <f t="shared" ref="P131:P154" si="40">+O131-M131</f>
        <v>0</v>
      </c>
    </row>
    <row r="132" spans="2:16">
      <c r="B132" s="9" t="str">
        <f t="shared" si="25"/>
        <v/>
      </c>
      <c r="C132" s="157">
        <f>IF(D93="","-",+C131+1)</f>
        <v>2039</v>
      </c>
      <c r="D132" s="158">
        <f>IF(F131+SUM(E$99:E131)=D$92,F131,D$92-SUM(E$99:E131))</f>
        <v>16672</v>
      </c>
      <c r="E132" s="165">
        <f>IF(+J96&lt;F131,J96,D132)</f>
        <v>1305</v>
      </c>
      <c r="F132" s="163">
        <f t="shared" si="35"/>
        <v>15367</v>
      </c>
      <c r="G132" s="163">
        <f t="shared" si="36"/>
        <v>16019.5</v>
      </c>
      <c r="H132" s="167">
        <f t="shared" si="33"/>
        <v>2950.7724127838128</v>
      </c>
      <c r="I132" s="317">
        <f t="shared" si="34"/>
        <v>2950.7724127838128</v>
      </c>
      <c r="J132" s="162">
        <f t="shared" si="37"/>
        <v>0</v>
      </c>
      <c r="K132" s="162"/>
      <c r="L132" s="335"/>
      <c r="M132" s="162">
        <f t="shared" si="38"/>
        <v>0</v>
      </c>
      <c r="N132" s="335"/>
      <c r="O132" s="162">
        <f t="shared" si="39"/>
        <v>0</v>
      </c>
      <c r="P132" s="162">
        <f t="shared" si="40"/>
        <v>0</v>
      </c>
    </row>
    <row r="133" spans="2:16">
      <c r="B133" s="9" t="str">
        <f t="shared" si="25"/>
        <v/>
      </c>
      <c r="C133" s="157">
        <f>IF(D93="","-",+C132+1)</f>
        <v>2040</v>
      </c>
      <c r="D133" s="158">
        <f>IF(F132+SUM(E$99:E132)=D$92,F132,D$92-SUM(E$99:E132))</f>
        <v>15367</v>
      </c>
      <c r="E133" s="165">
        <f>IF(+J96&lt;F132,J96,D133)</f>
        <v>1305</v>
      </c>
      <c r="F133" s="163">
        <f t="shared" si="35"/>
        <v>14062</v>
      </c>
      <c r="G133" s="163">
        <f t="shared" si="36"/>
        <v>14714.5</v>
      </c>
      <c r="H133" s="167">
        <f t="shared" si="33"/>
        <v>2816.7024980746846</v>
      </c>
      <c r="I133" s="317">
        <f t="shared" si="34"/>
        <v>2816.7024980746846</v>
      </c>
      <c r="J133" s="162">
        <f t="shared" si="37"/>
        <v>0</v>
      </c>
      <c r="K133" s="162"/>
      <c r="L133" s="335"/>
      <c r="M133" s="162">
        <f t="shared" si="38"/>
        <v>0</v>
      </c>
      <c r="N133" s="335"/>
      <c r="O133" s="162">
        <f t="shared" si="39"/>
        <v>0</v>
      </c>
      <c r="P133" s="162">
        <f t="shared" si="40"/>
        <v>0</v>
      </c>
    </row>
    <row r="134" spans="2:16">
      <c r="B134" s="9" t="str">
        <f t="shared" si="25"/>
        <v/>
      </c>
      <c r="C134" s="157">
        <f>IF(D93="","-",+C133+1)</f>
        <v>2041</v>
      </c>
      <c r="D134" s="158">
        <f>IF(F133+SUM(E$99:E133)=D$92,F133,D$92-SUM(E$99:E133))</f>
        <v>14062</v>
      </c>
      <c r="E134" s="165">
        <f>IF(+J96&lt;F133,J96,D134)</f>
        <v>1305</v>
      </c>
      <c r="F134" s="163">
        <f t="shared" si="35"/>
        <v>12757</v>
      </c>
      <c r="G134" s="163">
        <f t="shared" si="36"/>
        <v>13409.5</v>
      </c>
      <c r="H134" s="167">
        <f t="shared" si="33"/>
        <v>2682.6325833655565</v>
      </c>
      <c r="I134" s="317">
        <f t="shared" si="34"/>
        <v>2682.6325833655565</v>
      </c>
      <c r="J134" s="162">
        <f t="shared" si="37"/>
        <v>0</v>
      </c>
      <c r="K134" s="162"/>
      <c r="L134" s="335"/>
      <c r="M134" s="162">
        <f t="shared" si="38"/>
        <v>0</v>
      </c>
      <c r="N134" s="335"/>
      <c r="O134" s="162">
        <f t="shared" si="39"/>
        <v>0</v>
      </c>
      <c r="P134" s="162">
        <f t="shared" si="40"/>
        <v>0</v>
      </c>
    </row>
    <row r="135" spans="2:16">
      <c r="B135" s="9" t="str">
        <f t="shared" si="25"/>
        <v/>
      </c>
      <c r="C135" s="157">
        <f>IF(D93="","-",+C134+1)</f>
        <v>2042</v>
      </c>
      <c r="D135" s="158">
        <f>IF(F134+SUM(E$99:E134)=D$92,F134,D$92-SUM(E$99:E134))</f>
        <v>12757</v>
      </c>
      <c r="E135" s="165">
        <f>IF(+J96&lt;F134,J96,D135)</f>
        <v>1305</v>
      </c>
      <c r="F135" s="163">
        <f t="shared" si="35"/>
        <v>11452</v>
      </c>
      <c r="G135" s="163">
        <f t="shared" si="36"/>
        <v>12104.5</v>
      </c>
      <c r="H135" s="167">
        <f t="shared" si="33"/>
        <v>2548.5626686564287</v>
      </c>
      <c r="I135" s="317">
        <f t="shared" si="34"/>
        <v>2548.5626686564287</v>
      </c>
      <c r="J135" s="162">
        <f t="shared" si="37"/>
        <v>0</v>
      </c>
      <c r="K135" s="162"/>
      <c r="L135" s="335"/>
      <c r="M135" s="162">
        <f t="shared" si="38"/>
        <v>0</v>
      </c>
      <c r="N135" s="335"/>
      <c r="O135" s="162">
        <f t="shared" si="39"/>
        <v>0</v>
      </c>
      <c r="P135" s="162">
        <f t="shared" si="40"/>
        <v>0</v>
      </c>
    </row>
    <row r="136" spans="2:16">
      <c r="B136" s="9" t="str">
        <f t="shared" si="25"/>
        <v/>
      </c>
      <c r="C136" s="157">
        <f>IF(D93="","-",+C135+1)</f>
        <v>2043</v>
      </c>
      <c r="D136" s="158">
        <f>IF(F135+SUM(E$99:E135)=D$92,F135,D$92-SUM(E$99:E135))</f>
        <v>11452</v>
      </c>
      <c r="E136" s="165">
        <f>IF(+J96&lt;F135,J96,D136)</f>
        <v>1305</v>
      </c>
      <c r="F136" s="163">
        <f t="shared" si="35"/>
        <v>10147</v>
      </c>
      <c r="G136" s="163">
        <f t="shared" si="36"/>
        <v>10799.5</v>
      </c>
      <c r="H136" s="167">
        <f t="shared" si="33"/>
        <v>2414.492753947301</v>
      </c>
      <c r="I136" s="317">
        <f t="shared" si="34"/>
        <v>2414.492753947301</v>
      </c>
      <c r="J136" s="162">
        <f t="shared" si="37"/>
        <v>0</v>
      </c>
      <c r="K136" s="162"/>
      <c r="L136" s="335"/>
      <c r="M136" s="162">
        <f t="shared" si="38"/>
        <v>0</v>
      </c>
      <c r="N136" s="335"/>
      <c r="O136" s="162">
        <f t="shared" si="39"/>
        <v>0</v>
      </c>
      <c r="P136" s="162">
        <f t="shared" si="40"/>
        <v>0</v>
      </c>
    </row>
    <row r="137" spans="2:16">
      <c r="B137" s="9" t="str">
        <f t="shared" si="25"/>
        <v/>
      </c>
      <c r="C137" s="157">
        <f>IF(D93="","-",+C136+1)</f>
        <v>2044</v>
      </c>
      <c r="D137" s="158">
        <f>IF(F136+SUM(E$99:E136)=D$92,F136,D$92-SUM(E$99:E136))</f>
        <v>10147</v>
      </c>
      <c r="E137" s="165">
        <f>IF(+J96&lt;F136,J96,D137)</f>
        <v>1305</v>
      </c>
      <c r="F137" s="163">
        <f t="shared" si="35"/>
        <v>8842</v>
      </c>
      <c r="G137" s="163">
        <f t="shared" si="36"/>
        <v>9494.5</v>
      </c>
      <c r="H137" s="167">
        <f t="shared" si="33"/>
        <v>2280.4228392381729</v>
      </c>
      <c r="I137" s="317">
        <f t="shared" si="34"/>
        <v>2280.4228392381729</v>
      </c>
      <c r="J137" s="162">
        <f t="shared" si="37"/>
        <v>0</v>
      </c>
      <c r="K137" s="162"/>
      <c r="L137" s="335"/>
      <c r="M137" s="162">
        <f t="shared" si="38"/>
        <v>0</v>
      </c>
      <c r="N137" s="335"/>
      <c r="O137" s="162">
        <f t="shared" si="39"/>
        <v>0</v>
      </c>
      <c r="P137" s="162">
        <f t="shared" si="40"/>
        <v>0</v>
      </c>
    </row>
    <row r="138" spans="2:16">
      <c r="B138" s="9" t="str">
        <f t="shared" si="25"/>
        <v/>
      </c>
      <c r="C138" s="157">
        <f>IF(D93="","-",+C137+1)</f>
        <v>2045</v>
      </c>
      <c r="D138" s="158">
        <f>IF(F137+SUM(E$99:E137)=D$92,F137,D$92-SUM(E$99:E137))</f>
        <v>8842</v>
      </c>
      <c r="E138" s="165">
        <f>IF(+J96&lt;F137,J96,D138)</f>
        <v>1305</v>
      </c>
      <c r="F138" s="163">
        <f t="shared" si="35"/>
        <v>7537</v>
      </c>
      <c r="G138" s="163">
        <f t="shared" si="36"/>
        <v>8189.5</v>
      </c>
      <c r="H138" s="167">
        <f t="shared" si="33"/>
        <v>2146.3529245290447</v>
      </c>
      <c r="I138" s="317">
        <f t="shared" si="34"/>
        <v>2146.3529245290447</v>
      </c>
      <c r="J138" s="162">
        <f t="shared" si="37"/>
        <v>0</v>
      </c>
      <c r="K138" s="162"/>
      <c r="L138" s="335"/>
      <c r="M138" s="162">
        <f t="shared" si="38"/>
        <v>0</v>
      </c>
      <c r="N138" s="335"/>
      <c r="O138" s="162">
        <f t="shared" si="39"/>
        <v>0</v>
      </c>
      <c r="P138" s="162">
        <f t="shared" si="40"/>
        <v>0</v>
      </c>
    </row>
    <row r="139" spans="2:16">
      <c r="B139" s="9" t="str">
        <f t="shared" si="25"/>
        <v/>
      </c>
      <c r="C139" s="157">
        <f>IF(D93="","-",+C138+1)</f>
        <v>2046</v>
      </c>
      <c r="D139" s="158">
        <f>IF(F138+SUM(E$99:E138)=D$92,F138,D$92-SUM(E$99:E138))</f>
        <v>7537</v>
      </c>
      <c r="E139" s="165">
        <f>IF(+J96&lt;F138,J96,D139)</f>
        <v>1305</v>
      </c>
      <c r="F139" s="163">
        <f t="shared" si="35"/>
        <v>6232</v>
      </c>
      <c r="G139" s="163">
        <f t="shared" si="36"/>
        <v>6884.5</v>
      </c>
      <c r="H139" s="167">
        <f t="shared" si="33"/>
        <v>2012.283009819917</v>
      </c>
      <c r="I139" s="317">
        <f t="shared" si="34"/>
        <v>2012.283009819917</v>
      </c>
      <c r="J139" s="162">
        <f t="shared" si="37"/>
        <v>0</v>
      </c>
      <c r="K139" s="162"/>
      <c r="L139" s="335"/>
      <c r="M139" s="162">
        <f t="shared" si="38"/>
        <v>0</v>
      </c>
      <c r="N139" s="335"/>
      <c r="O139" s="162">
        <f t="shared" si="39"/>
        <v>0</v>
      </c>
      <c r="P139" s="162">
        <f t="shared" si="40"/>
        <v>0</v>
      </c>
    </row>
    <row r="140" spans="2:16">
      <c r="B140" s="9" t="str">
        <f t="shared" si="25"/>
        <v/>
      </c>
      <c r="C140" s="157">
        <f>IF(D93="","-",+C139+1)</f>
        <v>2047</v>
      </c>
      <c r="D140" s="158">
        <f>IF(F139+SUM(E$99:E139)=D$92,F139,D$92-SUM(E$99:E139))</f>
        <v>6232</v>
      </c>
      <c r="E140" s="165">
        <f>IF(+J96&lt;F139,J96,D140)</f>
        <v>1305</v>
      </c>
      <c r="F140" s="163">
        <f t="shared" si="35"/>
        <v>4927</v>
      </c>
      <c r="G140" s="163">
        <f t="shared" si="36"/>
        <v>5579.5</v>
      </c>
      <c r="H140" s="167">
        <f t="shared" si="33"/>
        <v>1878.2130951107888</v>
      </c>
      <c r="I140" s="317">
        <f t="shared" si="34"/>
        <v>1878.2130951107888</v>
      </c>
      <c r="J140" s="162">
        <f t="shared" si="37"/>
        <v>0</v>
      </c>
      <c r="K140" s="162"/>
      <c r="L140" s="335"/>
      <c r="M140" s="162">
        <f t="shared" si="38"/>
        <v>0</v>
      </c>
      <c r="N140" s="335"/>
      <c r="O140" s="162">
        <f t="shared" si="39"/>
        <v>0</v>
      </c>
      <c r="P140" s="162">
        <f t="shared" si="40"/>
        <v>0</v>
      </c>
    </row>
    <row r="141" spans="2:16">
      <c r="B141" s="9" t="str">
        <f t="shared" si="25"/>
        <v/>
      </c>
      <c r="C141" s="157">
        <f>IF(D93="","-",+C140+1)</f>
        <v>2048</v>
      </c>
      <c r="D141" s="158">
        <f>IF(F140+SUM(E$99:E140)=D$92,F140,D$92-SUM(E$99:E140))</f>
        <v>4927</v>
      </c>
      <c r="E141" s="165">
        <f>IF(+J96&lt;F140,J96,D141)</f>
        <v>1305</v>
      </c>
      <c r="F141" s="163">
        <f t="shared" si="35"/>
        <v>3622</v>
      </c>
      <c r="G141" s="163">
        <f t="shared" si="36"/>
        <v>4274.5</v>
      </c>
      <c r="H141" s="167">
        <f t="shared" si="33"/>
        <v>1744.1431804016609</v>
      </c>
      <c r="I141" s="317">
        <f t="shared" si="34"/>
        <v>1744.1431804016609</v>
      </c>
      <c r="J141" s="162">
        <f t="shared" si="37"/>
        <v>0</v>
      </c>
      <c r="K141" s="162"/>
      <c r="L141" s="335"/>
      <c r="M141" s="162">
        <f t="shared" si="38"/>
        <v>0</v>
      </c>
      <c r="N141" s="335"/>
      <c r="O141" s="162">
        <f t="shared" si="39"/>
        <v>0</v>
      </c>
      <c r="P141" s="162">
        <f t="shared" si="40"/>
        <v>0</v>
      </c>
    </row>
    <row r="142" spans="2:16">
      <c r="B142" s="9" t="str">
        <f t="shared" si="25"/>
        <v/>
      </c>
      <c r="C142" s="157">
        <f>IF(D93="","-",+C141+1)</f>
        <v>2049</v>
      </c>
      <c r="D142" s="158">
        <f>IF(F141+SUM(E$99:E141)=D$92,F141,D$92-SUM(E$99:E141))</f>
        <v>3622</v>
      </c>
      <c r="E142" s="165">
        <f>IF(+J96&lt;F141,J96,D142)</f>
        <v>1305</v>
      </c>
      <c r="F142" s="163">
        <f t="shared" si="35"/>
        <v>2317</v>
      </c>
      <c r="G142" s="163">
        <f t="shared" si="36"/>
        <v>2969.5</v>
      </c>
      <c r="H142" s="167">
        <f t="shared" si="33"/>
        <v>1610.0732656925329</v>
      </c>
      <c r="I142" s="317">
        <f t="shared" si="34"/>
        <v>1610.0732656925329</v>
      </c>
      <c r="J142" s="162">
        <f t="shared" si="37"/>
        <v>0</v>
      </c>
      <c r="K142" s="162"/>
      <c r="L142" s="335"/>
      <c r="M142" s="162">
        <f t="shared" si="38"/>
        <v>0</v>
      </c>
      <c r="N142" s="335"/>
      <c r="O142" s="162">
        <f t="shared" si="39"/>
        <v>0</v>
      </c>
      <c r="P142" s="162">
        <f t="shared" si="40"/>
        <v>0</v>
      </c>
    </row>
    <row r="143" spans="2:16">
      <c r="B143" s="9" t="str">
        <f t="shared" si="25"/>
        <v/>
      </c>
      <c r="C143" s="157">
        <f>IF(D93="","-",+C142+1)</f>
        <v>2050</v>
      </c>
      <c r="D143" s="158">
        <f>IF(F142+SUM(E$99:E142)=D$92,F142,D$92-SUM(E$99:E142))</f>
        <v>2317</v>
      </c>
      <c r="E143" s="165">
        <f>IF(+J96&lt;F142,J96,D143)</f>
        <v>1305</v>
      </c>
      <c r="F143" s="163">
        <f t="shared" si="35"/>
        <v>1012</v>
      </c>
      <c r="G143" s="163">
        <f t="shared" si="36"/>
        <v>1664.5</v>
      </c>
      <c r="H143" s="167">
        <f t="shared" si="33"/>
        <v>1476.003350983405</v>
      </c>
      <c r="I143" s="317">
        <f t="shared" si="34"/>
        <v>1476.003350983405</v>
      </c>
      <c r="J143" s="162">
        <f t="shared" si="37"/>
        <v>0</v>
      </c>
      <c r="K143" s="162"/>
      <c r="L143" s="335"/>
      <c r="M143" s="162">
        <f t="shared" si="38"/>
        <v>0</v>
      </c>
      <c r="N143" s="335"/>
      <c r="O143" s="162">
        <f t="shared" si="39"/>
        <v>0</v>
      </c>
      <c r="P143" s="162">
        <f t="shared" si="40"/>
        <v>0</v>
      </c>
    </row>
    <row r="144" spans="2:16">
      <c r="B144" s="9" t="str">
        <f t="shared" si="25"/>
        <v/>
      </c>
      <c r="C144" s="157">
        <f>IF(D93="","-",+C143+1)</f>
        <v>2051</v>
      </c>
      <c r="D144" s="158">
        <f>IF(F143+SUM(E$99:E143)=D$92,F143,D$92-SUM(E$99:E143))</f>
        <v>1012</v>
      </c>
      <c r="E144" s="165">
        <f>IF(+J96&lt;F143,J96,D144)</f>
        <v>1012</v>
      </c>
      <c r="F144" s="163">
        <f t="shared" si="35"/>
        <v>0</v>
      </c>
      <c r="G144" s="163">
        <f t="shared" si="36"/>
        <v>506</v>
      </c>
      <c r="H144" s="167">
        <f t="shared" si="33"/>
        <v>1063.9841968144206</v>
      </c>
      <c r="I144" s="317">
        <f t="shared" si="34"/>
        <v>1063.9841968144206</v>
      </c>
      <c r="J144" s="162">
        <f t="shared" si="37"/>
        <v>0</v>
      </c>
      <c r="K144" s="162"/>
      <c r="L144" s="335"/>
      <c r="M144" s="162">
        <f t="shared" si="38"/>
        <v>0</v>
      </c>
      <c r="N144" s="335"/>
      <c r="O144" s="162">
        <f t="shared" si="39"/>
        <v>0</v>
      </c>
      <c r="P144" s="162">
        <f t="shared" si="40"/>
        <v>0</v>
      </c>
    </row>
    <row r="145" spans="2:16">
      <c r="B145" s="9" t="str">
        <f t="shared" si="25"/>
        <v/>
      </c>
      <c r="C145" s="157">
        <f>IF(D93="","-",+C144+1)</f>
        <v>2052</v>
      </c>
      <c r="D145" s="158">
        <f>IF(F144+SUM(E$99:E144)=D$92,F144,D$92-SUM(E$99:E144))</f>
        <v>0</v>
      </c>
      <c r="E145" s="165">
        <f>IF(+J96&lt;F144,J96,D145)</f>
        <v>0</v>
      </c>
      <c r="F145" s="163">
        <f t="shared" si="35"/>
        <v>0</v>
      </c>
      <c r="G145" s="163">
        <f t="shared" si="36"/>
        <v>0</v>
      </c>
      <c r="H145" s="167">
        <f t="shared" si="33"/>
        <v>0</v>
      </c>
      <c r="I145" s="317">
        <f t="shared" si="34"/>
        <v>0</v>
      </c>
      <c r="J145" s="162">
        <f t="shared" si="37"/>
        <v>0</v>
      </c>
      <c r="K145" s="162"/>
      <c r="L145" s="335"/>
      <c r="M145" s="162">
        <f t="shared" si="38"/>
        <v>0</v>
      </c>
      <c r="N145" s="335"/>
      <c r="O145" s="162">
        <f t="shared" si="39"/>
        <v>0</v>
      </c>
      <c r="P145" s="162">
        <f t="shared" si="40"/>
        <v>0</v>
      </c>
    </row>
    <row r="146" spans="2:16">
      <c r="B146" s="9" t="str">
        <f t="shared" si="25"/>
        <v/>
      </c>
      <c r="C146" s="157">
        <f>IF(D93="","-",+C145+1)</f>
        <v>2053</v>
      </c>
      <c r="D146" s="158">
        <f>IF(F145+SUM(E$99:E145)=D$92,F145,D$92-SUM(E$99:E145))</f>
        <v>0</v>
      </c>
      <c r="E146" s="165">
        <f>IF(+J96&lt;F145,J96,D146)</f>
        <v>0</v>
      </c>
      <c r="F146" s="163">
        <f t="shared" si="35"/>
        <v>0</v>
      </c>
      <c r="G146" s="163">
        <f t="shared" si="36"/>
        <v>0</v>
      </c>
      <c r="H146" s="167">
        <f t="shared" si="33"/>
        <v>0</v>
      </c>
      <c r="I146" s="317">
        <f t="shared" si="34"/>
        <v>0</v>
      </c>
      <c r="J146" s="162">
        <f t="shared" si="37"/>
        <v>0</v>
      </c>
      <c r="K146" s="162"/>
      <c r="L146" s="335"/>
      <c r="M146" s="162">
        <f t="shared" si="38"/>
        <v>0</v>
      </c>
      <c r="N146" s="335"/>
      <c r="O146" s="162">
        <f t="shared" si="39"/>
        <v>0</v>
      </c>
      <c r="P146" s="162">
        <f t="shared" si="40"/>
        <v>0</v>
      </c>
    </row>
    <row r="147" spans="2:16">
      <c r="B147" s="9" t="str">
        <f t="shared" si="25"/>
        <v/>
      </c>
      <c r="C147" s="157">
        <f>IF(D93="","-",+C146+1)</f>
        <v>2054</v>
      </c>
      <c r="D147" s="158">
        <f>IF(F146+SUM(E$99:E146)=D$92,F146,D$92-SUM(E$99:E146))</f>
        <v>0</v>
      </c>
      <c r="E147" s="165">
        <f>IF(+J96&lt;F146,J96,D147)</f>
        <v>0</v>
      </c>
      <c r="F147" s="163">
        <f t="shared" si="35"/>
        <v>0</v>
      </c>
      <c r="G147" s="163">
        <f t="shared" si="36"/>
        <v>0</v>
      </c>
      <c r="H147" s="167">
        <f t="shared" si="33"/>
        <v>0</v>
      </c>
      <c r="I147" s="317">
        <f t="shared" si="34"/>
        <v>0</v>
      </c>
      <c r="J147" s="162">
        <f t="shared" si="37"/>
        <v>0</v>
      </c>
      <c r="K147" s="162"/>
      <c r="L147" s="335"/>
      <c r="M147" s="162">
        <f t="shared" si="38"/>
        <v>0</v>
      </c>
      <c r="N147" s="335"/>
      <c r="O147" s="162">
        <f t="shared" si="39"/>
        <v>0</v>
      </c>
      <c r="P147" s="162">
        <f t="shared" si="40"/>
        <v>0</v>
      </c>
    </row>
    <row r="148" spans="2:16">
      <c r="B148" s="9" t="str">
        <f t="shared" si="25"/>
        <v/>
      </c>
      <c r="C148" s="157">
        <f>IF(D93="","-",+C147+1)</f>
        <v>2055</v>
      </c>
      <c r="D148" s="158">
        <f>IF(F147+SUM(E$99:E147)=D$92,F147,D$92-SUM(E$99:E147))</f>
        <v>0</v>
      </c>
      <c r="E148" s="165">
        <f>IF(+J96&lt;F147,J96,D148)</f>
        <v>0</v>
      </c>
      <c r="F148" s="163">
        <f t="shared" si="35"/>
        <v>0</v>
      </c>
      <c r="G148" s="163">
        <f t="shared" si="36"/>
        <v>0</v>
      </c>
      <c r="H148" s="167">
        <f t="shared" si="33"/>
        <v>0</v>
      </c>
      <c r="I148" s="317">
        <f t="shared" si="34"/>
        <v>0</v>
      </c>
      <c r="J148" s="162">
        <f t="shared" si="37"/>
        <v>0</v>
      </c>
      <c r="K148" s="162"/>
      <c r="L148" s="335"/>
      <c r="M148" s="162">
        <f t="shared" si="38"/>
        <v>0</v>
      </c>
      <c r="N148" s="335"/>
      <c r="O148" s="162">
        <f t="shared" si="39"/>
        <v>0</v>
      </c>
      <c r="P148" s="162">
        <f t="shared" si="40"/>
        <v>0</v>
      </c>
    </row>
    <row r="149" spans="2:16">
      <c r="B149" s="9" t="str">
        <f t="shared" si="25"/>
        <v/>
      </c>
      <c r="C149" s="157">
        <f>IF(D93="","-",+C148+1)</f>
        <v>2056</v>
      </c>
      <c r="D149" s="158">
        <f>IF(F148+SUM(E$99:E148)=D$92,F148,D$92-SUM(E$99:E148))</f>
        <v>0</v>
      </c>
      <c r="E149" s="165">
        <f>IF(+J96&lt;F148,J96,D149)</f>
        <v>0</v>
      </c>
      <c r="F149" s="163">
        <f t="shared" si="35"/>
        <v>0</v>
      </c>
      <c r="G149" s="163">
        <f t="shared" si="36"/>
        <v>0</v>
      </c>
      <c r="H149" s="167">
        <f t="shared" si="33"/>
        <v>0</v>
      </c>
      <c r="I149" s="317">
        <f t="shared" si="34"/>
        <v>0</v>
      </c>
      <c r="J149" s="162">
        <f t="shared" si="37"/>
        <v>0</v>
      </c>
      <c r="K149" s="162"/>
      <c r="L149" s="335"/>
      <c r="M149" s="162">
        <f t="shared" si="38"/>
        <v>0</v>
      </c>
      <c r="N149" s="335"/>
      <c r="O149" s="162">
        <f t="shared" si="39"/>
        <v>0</v>
      </c>
      <c r="P149" s="162">
        <f t="shared" si="40"/>
        <v>0</v>
      </c>
    </row>
    <row r="150" spans="2:16">
      <c r="B150" s="9" t="str">
        <f t="shared" si="25"/>
        <v/>
      </c>
      <c r="C150" s="157">
        <f>IF(D93="","-",+C149+1)</f>
        <v>2057</v>
      </c>
      <c r="D150" s="158">
        <f>IF(F149+SUM(E$99:E149)=D$92,F149,D$92-SUM(E$99:E149))</f>
        <v>0</v>
      </c>
      <c r="E150" s="165">
        <f>IF(+J96&lt;F149,J96,D150)</f>
        <v>0</v>
      </c>
      <c r="F150" s="163">
        <f t="shared" si="35"/>
        <v>0</v>
      </c>
      <c r="G150" s="163">
        <f t="shared" si="36"/>
        <v>0</v>
      </c>
      <c r="H150" s="167">
        <f t="shared" si="33"/>
        <v>0</v>
      </c>
      <c r="I150" s="317">
        <f t="shared" si="34"/>
        <v>0</v>
      </c>
      <c r="J150" s="162">
        <f t="shared" si="37"/>
        <v>0</v>
      </c>
      <c r="K150" s="162"/>
      <c r="L150" s="335"/>
      <c r="M150" s="162">
        <f t="shared" si="38"/>
        <v>0</v>
      </c>
      <c r="N150" s="335"/>
      <c r="O150" s="162">
        <f t="shared" si="39"/>
        <v>0</v>
      </c>
      <c r="P150" s="162">
        <f t="shared" si="40"/>
        <v>0</v>
      </c>
    </row>
    <row r="151" spans="2:16">
      <c r="B151" s="9" t="str">
        <f t="shared" si="25"/>
        <v/>
      </c>
      <c r="C151" s="157">
        <f>IF(D93="","-",+C150+1)</f>
        <v>2058</v>
      </c>
      <c r="D151" s="158">
        <f>IF(F150+SUM(E$99:E150)=D$92,F150,D$92-SUM(E$99:E150))</f>
        <v>0</v>
      </c>
      <c r="E151" s="165">
        <f>IF(+J96&lt;F150,J96,D151)</f>
        <v>0</v>
      </c>
      <c r="F151" s="163">
        <f t="shared" si="35"/>
        <v>0</v>
      </c>
      <c r="G151" s="163">
        <f t="shared" si="36"/>
        <v>0</v>
      </c>
      <c r="H151" s="167">
        <f t="shared" si="33"/>
        <v>0</v>
      </c>
      <c r="I151" s="317">
        <f t="shared" si="34"/>
        <v>0</v>
      </c>
      <c r="J151" s="162">
        <f t="shared" si="37"/>
        <v>0</v>
      </c>
      <c r="K151" s="162"/>
      <c r="L151" s="335"/>
      <c r="M151" s="162">
        <f t="shared" si="38"/>
        <v>0</v>
      </c>
      <c r="N151" s="335"/>
      <c r="O151" s="162">
        <f t="shared" si="39"/>
        <v>0</v>
      </c>
      <c r="P151" s="162">
        <f t="shared" si="40"/>
        <v>0</v>
      </c>
    </row>
    <row r="152" spans="2:16">
      <c r="B152" s="9" t="str">
        <f t="shared" si="25"/>
        <v/>
      </c>
      <c r="C152" s="157">
        <f>IF(D93="","-",+C151+1)</f>
        <v>2059</v>
      </c>
      <c r="D152" s="158">
        <f>IF(F151+SUM(E$99:E151)=D$92,F151,D$92-SUM(E$99:E151))</f>
        <v>0</v>
      </c>
      <c r="E152" s="165">
        <f>IF(+J96&lt;F151,J96,D152)</f>
        <v>0</v>
      </c>
      <c r="F152" s="163">
        <f t="shared" si="35"/>
        <v>0</v>
      </c>
      <c r="G152" s="163">
        <f t="shared" si="36"/>
        <v>0</v>
      </c>
      <c r="H152" s="167">
        <f t="shared" si="33"/>
        <v>0</v>
      </c>
      <c r="I152" s="317">
        <f t="shared" si="34"/>
        <v>0</v>
      </c>
      <c r="J152" s="162">
        <f t="shared" si="37"/>
        <v>0</v>
      </c>
      <c r="K152" s="162"/>
      <c r="L152" s="335"/>
      <c r="M152" s="162">
        <f t="shared" si="38"/>
        <v>0</v>
      </c>
      <c r="N152" s="335"/>
      <c r="O152" s="162">
        <f t="shared" si="39"/>
        <v>0</v>
      </c>
      <c r="P152" s="162">
        <f t="shared" si="40"/>
        <v>0</v>
      </c>
    </row>
    <row r="153" spans="2:16">
      <c r="B153" s="9" t="str">
        <f t="shared" si="25"/>
        <v/>
      </c>
      <c r="C153" s="157">
        <f>IF(D93="","-",+C152+1)</f>
        <v>2060</v>
      </c>
      <c r="D153" s="158">
        <f>IF(F152+SUM(E$99:E152)=D$92,F152,D$92-SUM(E$99:E152))</f>
        <v>0</v>
      </c>
      <c r="E153" s="165">
        <f>IF(+J96&lt;F152,J96,D153)</f>
        <v>0</v>
      </c>
      <c r="F153" s="163">
        <f t="shared" si="35"/>
        <v>0</v>
      </c>
      <c r="G153" s="163">
        <f t="shared" si="36"/>
        <v>0</v>
      </c>
      <c r="H153" s="167">
        <f t="shared" si="33"/>
        <v>0</v>
      </c>
      <c r="I153" s="317">
        <f t="shared" si="34"/>
        <v>0</v>
      </c>
      <c r="J153" s="162">
        <f t="shared" si="37"/>
        <v>0</v>
      </c>
      <c r="K153" s="162"/>
      <c r="L153" s="335"/>
      <c r="M153" s="162">
        <f t="shared" si="38"/>
        <v>0</v>
      </c>
      <c r="N153" s="335"/>
      <c r="O153" s="162">
        <f t="shared" si="39"/>
        <v>0</v>
      </c>
      <c r="P153" s="162">
        <f t="shared" si="40"/>
        <v>0</v>
      </c>
    </row>
    <row r="154" spans="2:16" ht="13.5" thickBot="1">
      <c r="B154" s="9" t="str">
        <f t="shared" si="25"/>
        <v/>
      </c>
      <c r="C154" s="168">
        <f>IF(D93="","-",+C153+1)</f>
        <v>2061</v>
      </c>
      <c r="D154" s="219">
        <f>IF(F153+SUM(E$99:E153)=D$92,F153,D$92-SUM(E$99:E153))</f>
        <v>0</v>
      </c>
      <c r="E154" s="377">
        <f>IF(+J96&lt;F153,J96,D154)</f>
        <v>0</v>
      </c>
      <c r="F154" s="169">
        <f t="shared" si="35"/>
        <v>0</v>
      </c>
      <c r="G154" s="169">
        <f t="shared" si="36"/>
        <v>0</v>
      </c>
      <c r="H154" s="171">
        <f t="shared" si="33"/>
        <v>0</v>
      </c>
      <c r="I154" s="318">
        <f t="shared" si="34"/>
        <v>0</v>
      </c>
      <c r="J154" s="173">
        <f t="shared" si="37"/>
        <v>0</v>
      </c>
      <c r="K154" s="162"/>
      <c r="L154" s="336"/>
      <c r="M154" s="173">
        <f t="shared" si="38"/>
        <v>0</v>
      </c>
      <c r="N154" s="336"/>
      <c r="O154" s="173">
        <f t="shared" si="39"/>
        <v>0</v>
      </c>
      <c r="P154" s="173">
        <f t="shared" si="40"/>
        <v>0</v>
      </c>
    </row>
    <row r="155" spans="2:16">
      <c r="C155" s="158" t="s">
        <v>72</v>
      </c>
      <c r="D155" s="115"/>
      <c r="E155" s="115">
        <f>SUM(E99:E154)</f>
        <v>56133</v>
      </c>
      <c r="F155" s="115"/>
      <c r="G155" s="115"/>
      <c r="H155" s="115">
        <f>SUM(H99:H154)</f>
        <v>202759.37448557391</v>
      </c>
      <c r="I155" s="115">
        <f>SUM(I99:I154)</f>
        <v>202759.37448557391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phoneticPr fontId="0" type="noConversion"/>
  <conditionalFormatting sqref="C17:C72">
    <cfRule type="cellIs" dxfId="46" priority="1" stopIfTrue="1" operator="equal">
      <formula>$I$10</formula>
    </cfRule>
  </conditionalFormatting>
  <conditionalFormatting sqref="C99:C154">
    <cfRule type="cellIs" dxfId="45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7">
    <tabColor rgb="FFC00000"/>
  </sheetPr>
  <dimension ref="A1:P162"/>
  <sheetViews>
    <sheetView view="pageBreakPreview" zoomScale="75" zoomScaleNormal="100" workbookViewId="0">
      <selection activeCell="I23" sqref="I23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"&amp;RIGHT(MID(CELL("filename",$A$1),FIND("]",CELL("filename",$A$1))+1,256),1)&amp;" of "&amp;COUNT('P.001:P.xyz - blank'!$P$3)-1</f>
        <v>PSO Project 9 of 28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275</v>
      </c>
      <c r="L5" s="119"/>
      <c r="M5" s="120"/>
      <c r="N5" s="121">
        <f>VLOOKUP(I10,C17:I72,5)</f>
        <v>7531.2168125199005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276</v>
      </c>
      <c r="L6" s="125"/>
      <c r="M6" s="4"/>
      <c r="N6" s="126">
        <f>VLOOKUP(I10,C17:I72,6)</f>
        <v>7531.2168125199005</v>
      </c>
      <c r="O6" s="1"/>
      <c r="P6" s="1"/>
    </row>
    <row r="7" spans="1:16" ht="13.5" thickBot="1">
      <c r="C7" s="127" t="s">
        <v>41</v>
      </c>
      <c r="D7" s="343" t="s">
        <v>207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 t="str">
        <f>IF(D10&lt;100000,"DOES NOT MEET SPP $100,000 MINIMUM INVESTMENT FOR REGIONAL BPU SHARING.","")</f>
        <v>DOES NOT MEET SPP $100,000 MINIMUM INVESTMENT FOR REGIONAL BPU SHARING.</v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43</v>
      </c>
      <c r="D9" s="229" t="s">
        <v>83</v>
      </c>
      <c r="E9" s="427" t="s">
        <v>307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72551</v>
      </c>
      <c r="E10" s="64" t="s">
        <v>46</v>
      </c>
      <c r="F10" s="137"/>
      <c r="G10" s="139"/>
      <c r="H10" s="139"/>
      <c r="I10" s="140">
        <f>+PSO.WS.F.BPU.ATRR.Projected!L19</f>
        <v>2020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2007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4</v>
      </c>
      <c r="E12" s="141" t="s">
        <v>51</v>
      </c>
      <c r="F12" s="139"/>
      <c r="G12" s="7"/>
      <c r="H12" s="7"/>
      <c r="I12" s="145">
        <f>PSO.WS.F.BPU.ATRR.Projected!$F$81</f>
        <v>0.10800477690995318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42</v>
      </c>
      <c r="E13" s="141" t="s">
        <v>54</v>
      </c>
      <c r="F13" s="139"/>
      <c r="G13" s="7"/>
      <c r="H13" s="7"/>
      <c r="I13" s="145">
        <f>IF(G5="",I12,PSO.WS.F.BPU.ATRR.Projected!$F$80)</f>
        <v>0.10800477690995318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1727.4047619047619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277</v>
      </c>
      <c r="H15" s="362" t="s">
        <v>278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2007</v>
      </c>
      <c r="D17" s="366">
        <v>72551</v>
      </c>
      <c r="E17" s="367">
        <v>863.70238095238085</v>
      </c>
      <c r="F17" s="366">
        <v>71687.297619047618</v>
      </c>
      <c r="G17" s="367">
        <v>11207.929543529199</v>
      </c>
      <c r="H17" s="370">
        <v>11207.929543529199</v>
      </c>
      <c r="I17" s="160">
        <f t="shared" ref="I17:I48" si="0">H17-G17</f>
        <v>0</v>
      </c>
      <c r="J17" s="160"/>
      <c r="K17" s="337">
        <v>0</v>
      </c>
      <c r="L17" s="161">
        <f t="shared" ref="L17:L48" si="1">IF(K17&lt;&gt;0,+G17-K17,0)</f>
        <v>0</v>
      </c>
      <c r="M17" s="337">
        <v>0</v>
      </c>
      <c r="N17" s="161">
        <f t="shared" ref="N17:N48" si="2">IF(M17&lt;&gt;0,+H17-M17,0)</f>
        <v>0</v>
      </c>
      <c r="O17" s="162">
        <f t="shared" ref="O17:O48" si="3">+N17-L17</f>
        <v>0</v>
      </c>
      <c r="P17" s="4"/>
    </row>
    <row r="18" spans="2:16">
      <c r="B18" s="9" t="str">
        <f>IF(D18=F17,"","IU")</f>
        <v/>
      </c>
      <c r="C18" s="157">
        <f>IF(D11="","-",+C17+1)</f>
        <v>2008</v>
      </c>
      <c r="D18" s="371">
        <v>71687.297619047618</v>
      </c>
      <c r="E18" s="368">
        <v>1295.5535714285713</v>
      </c>
      <c r="F18" s="371">
        <v>70391.744047619053</v>
      </c>
      <c r="G18" s="368">
        <v>11452.836869621469</v>
      </c>
      <c r="H18" s="370">
        <v>11452.836869621469</v>
      </c>
      <c r="I18" s="160">
        <f t="shared" si="0"/>
        <v>0</v>
      </c>
      <c r="J18" s="160"/>
      <c r="K18" s="338">
        <v>0</v>
      </c>
      <c r="L18" s="162">
        <f t="shared" si="1"/>
        <v>0</v>
      </c>
      <c r="M18" s="338">
        <v>0</v>
      </c>
      <c r="N18" s="162">
        <f t="shared" si="2"/>
        <v>0</v>
      </c>
      <c r="O18" s="162">
        <f t="shared" si="3"/>
        <v>0</v>
      </c>
      <c r="P18" s="4"/>
    </row>
    <row r="19" spans="2:16">
      <c r="B19" s="9" t="str">
        <f>IF(D19=F18,"","IU")</f>
        <v/>
      </c>
      <c r="C19" s="157">
        <f>IF(D11="","-",+C18+1)</f>
        <v>2009</v>
      </c>
      <c r="D19" s="371">
        <v>70391.744047619053</v>
      </c>
      <c r="E19" s="368">
        <v>1295.5535714285713</v>
      </c>
      <c r="F19" s="371">
        <v>69096.190476190488</v>
      </c>
      <c r="G19" s="368">
        <v>11265.893005237553</v>
      </c>
      <c r="H19" s="370">
        <v>11265.893005237553</v>
      </c>
      <c r="I19" s="160">
        <f t="shared" si="0"/>
        <v>0</v>
      </c>
      <c r="J19" s="160"/>
      <c r="K19" s="338">
        <v>0</v>
      </c>
      <c r="L19" s="162">
        <f t="shared" si="1"/>
        <v>0</v>
      </c>
      <c r="M19" s="338">
        <v>0</v>
      </c>
      <c r="N19" s="162">
        <f t="shared" si="2"/>
        <v>0</v>
      </c>
      <c r="O19" s="162">
        <f t="shared" si="3"/>
        <v>0</v>
      </c>
      <c r="P19" s="4"/>
    </row>
    <row r="20" spans="2:16">
      <c r="B20" s="9" t="str">
        <f t="shared" ref="B20:B72" si="4">IF(D20=F19,"","IU")</f>
        <v/>
      </c>
      <c r="C20" s="157">
        <f>IF(D11="","-",+C19+1)</f>
        <v>2010</v>
      </c>
      <c r="D20" s="371">
        <v>69096.190476190488</v>
      </c>
      <c r="E20" s="368">
        <v>1295.5535714285713</v>
      </c>
      <c r="F20" s="371">
        <v>67800.636904761923</v>
      </c>
      <c r="G20" s="368">
        <v>11078.949140853634</v>
      </c>
      <c r="H20" s="370">
        <v>11078.949140853634</v>
      </c>
      <c r="I20" s="160">
        <f t="shared" si="0"/>
        <v>0</v>
      </c>
      <c r="J20" s="160"/>
      <c r="K20" s="380">
        <f t="shared" ref="K20:K25" si="5">G20</f>
        <v>11078.949140853634</v>
      </c>
      <c r="L20" s="381">
        <f t="shared" si="1"/>
        <v>0</v>
      </c>
      <c r="M20" s="380">
        <f t="shared" ref="M20:M25" si="6">H20</f>
        <v>11078.949140853634</v>
      </c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4"/>
        <v/>
      </c>
      <c r="C21" s="157">
        <f>IF(D11="","-",+C20+1)</f>
        <v>2011</v>
      </c>
      <c r="D21" s="371">
        <v>67800.636904761923</v>
      </c>
      <c r="E21" s="368">
        <v>1422.5686274509803</v>
      </c>
      <c r="F21" s="371">
        <v>66378.068277310944</v>
      </c>
      <c r="G21" s="368">
        <v>11813.613268851301</v>
      </c>
      <c r="H21" s="370">
        <v>11813.613268851301</v>
      </c>
      <c r="I21" s="160">
        <f t="shared" si="0"/>
        <v>0</v>
      </c>
      <c r="J21" s="160"/>
      <c r="K21" s="338">
        <f t="shared" si="5"/>
        <v>11813.613268851301</v>
      </c>
      <c r="L21" s="272">
        <f t="shared" si="1"/>
        <v>0</v>
      </c>
      <c r="M21" s="338">
        <f t="shared" si="6"/>
        <v>11813.613268851301</v>
      </c>
      <c r="N21" s="162">
        <f t="shared" si="2"/>
        <v>0</v>
      </c>
      <c r="O21" s="162">
        <f t="shared" si="3"/>
        <v>0</v>
      </c>
      <c r="P21" s="4"/>
    </row>
    <row r="22" spans="2:16">
      <c r="B22" s="9" t="str">
        <f t="shared" si="4"/>
        <v/>
      </c>
      <c r="C22" s="157">
        <f>IF(D11="","-",+C21+1)</f>
        <v>2012</v>
      </c>
      <c r="D22" s="371">
        <v>66378.068277310944</v>
      </c>
      <c r="E22" s="368">
        <v>1395.2115384615386</v>
      </c>
      <c r="F22" s="371">
        <v>64982.856738849405</v>
      </c>
      <c r="G22" s="368">
        <v>10441.262785463339</v>
      </c>
      <c r="H22" s="370">
        <v>10441.262785463339</v>
      </c>
      <c r="I22" s="160">
        <f t="shared" si="0"/>
        <v>0</v>
      </c>
      <c r="J22" s="160"/>
      <c r="K22" s="338">
        <f t="shared" si="5"/>
        <v>10441.262785463339</v>
      </c>
      <c r="L22" s="272">
        <f t="shared" si="1"/>
        <v>0</v>
      </c>
      <c r="M22" s="338">
        <f t="shared" si="6"/>
        <v>10441.262785463339</v>
      </c>
      <c r="N22" s="162">
        <f t="shared" si="2"/>
        <v>0</v>
      </c>
      <c r="O22" s="162">
        <f t="shared" si="3"/>
        <v>0</v>
      </c>
      <c r="P22" s="4"/>
    </row>
    <row r="23" spans="2:16">
      <c r="B23" s="9" t="str">
        <f t="shared" si="4"/>
        <v/>
      </c>
      <c r="C23" s="157">
        <f>IF(D11="","-",+C22+1)</f>
        <v>2013</v>
      </c>
      <c r="D23" s="371">
        <v>64982.856738849405</v>
      </c>
      <c r="E23" s="368">
        <v>1395.2115384615386</v>
      </c>
      <c r="F23" s="371">
        <v>63587.645200387866</v>
      </c>
      <c r="G23" s="368">
        <v>10475.957148527981</v>
      </c>
      <c r="H23" s="370">
        <v>10475.957148527981</v>
      </c>
      <c r="I23" s="160">
        <v>0</v>
      </c>
      <c r="J23" s="160"/>
      <c r="K23" s="338">
        <f t="shared" si="5"/>
        <v>10475.957148527981</v>
      </c>
      <c r="L23" s="272">
        <f t="shared" ref="L23:L28" si="7">IF(K23&lt;&gt;0,+G23-K23,0)</f>
        <v>0</v>
      </c>
      <c r="M23" s="338">
        <f t="shared" si="6"/>
        <v>10475.957148527981</v>
      </c>
      <c r="N23" s="162">
        <f t="shared" ref="N23:N28" si="8">IF(M23&lt;&gt;0,+H23-M23,0)</f>
        <v>0</v>
      </c>
      <c r="O23" s="162">
        <f t="shared" ref="O23:O28" si="9">+N23-L23</f>
        <v>0</v>
      </c>
      <c r="P23" s="4"/>
    </row>
    <row r="24" spans="2:16">
      <c r="B24" s="9" t="str">
        <f t="shared" si="4"/>
        <v/>
      </c>
      <c r="C24" s="157">
        <f>IF(D11="","-",+C23+1)</f>
        <v>2014</v>
      </c>
      <c r="D24" s="371">
        <v>63587.645200387866</v>
      </c>
      <c r="E24" s="368">
        <v>1395.2115384615386</v>
      </c>
      <c r="F24" s="371">
        <v>62192.433661926327</v>
      </c>
      <c r="G24" s="368">
        <v>9956.5453160541092</v>
      </c>
      <c r="H24" s="370">
        <v>9956.5453160541092</v>
      </c>
      <c r="I24" s="160">
        <v>0</v>
      </c>
      <c r="J24" s="160"/>
      <c r="K24" s="338">
        <f t="shared" si="5"/>
        <v>9956.5453160541092</v>
      </c>
      <c r="L24" s="272">
        <f t="shared" si="7"/>
        <v>0</v>
      </c>
      <c r="M24" s="338">
        <f t="shared" si="6"/>
        <v>9956.5453160541092</v>
      </c>
      <c r="N24" s="162">
        <f t="shared" si="8"/>
        <v>0</v>
      </c>
      <c r="O24" s="162">
        <f t="shared" si="9"/>
        <v>0</v>
      </c>
      <c r="P24" s="4"/>
    </row>
    <row r="25" spans="2:16">
      <c r="B25" s="9" t="str">
        <f t="shared" si="4"/>
        <v/>
      </c>
      <c r="C25" s="157">
        <f>IF(D11="","-",+C24+1)</f>
        <v>2015</v>
      </c>
      <c r="D25" s="371">
        <v>62192.433661926327</v>
      </c>
      <c r="E25" s="368">
        <v>1395.2115384615386</v>
      </c>
      <c r="F25" s="371">
        <v>60797.222123464788</v>
      </c>
      <c r="G25" s="368">
        <v>9777.4252794187214</v>
      </c>
      <c r="H25" s="370">
        <v>9777.4252794187214</v>
      </c>
      <c r="I25" s="160">
        <v>0</v>
      </c>
      <c r="J25" s="160"/>
      <c r="K25" s="338">
        <f t="shared" si="5"/>
        <v>9777.4252794187214</v>
      </c>
      <c r="L25" s="272">
        <f t="shared" si="7"/>
        <v>0</v>
      </c>
      <c r="M25" s="338">
        <f t="shared" si="6"/>
        <v>9777.4252794187214</v>
      </c>
      <c r="N25" s="162">
        <f t="shared" si="8"/>
        <v>0</v>
      </c>
      <c r="O25" s="162">
        <f t="shared" si="9"/>
        <v>0</v>
      </c>
      <c r="P25" s="4"/>
    </row>
    <row r="26" spans="2:16">
      <c r="B26" s="9" t="str">
        <f t="shared" si="4"/>
        <v/>
      </c>
      <c r="C26" s="157">
        <f>IF(D11="","-",+C25+1)</f>
        <v>2016</v>
      </c>
      <c r="D26" s="371">
        <v>60797.222123464788</v>
      </c>
      <c r="E26" s="368">
        <v>1395.2115384615386</v>
      </c>
      <c r="F26" s="371">
        <v>59402.010585003249</v>
      </c>
      <c r="G26" s="368">
        <v>9186.357507240491</v>
      </c>
      <c r="H26" s="370">
        <v>9186.357507240491</v>
      </c>
      <c r="I26" s="160">
        <f t="shared" si="0"/>
        <v>0</v>
      </c>
      <c r="J26" s="160"/>
      <c r="K26" s="338">
        <f>G26</f>
        <v>9186.357507240491</v>
      </c>
      <c r="L26" s="272">
        <f t="shared" si="7"/>
        <v>0</v>
      </c>
      <c r="M26" s="338">
        <f>H26</f>
        <v>9186.357507240491</v>
      </c>
      <c r="N26" s="162">
        <f t="shared" si="8"/>
        <v>0</v>
      </c>
      <c r="O26" s="162">
        <f t="shared" si="9"/>
        <v>0</v>
      </c>
      <c r="P26" s="4"/>
    </row>
    <row r="27" spans="2:16">
      <c r="B27" s="9" t="str">
        <f t="shared" si="4"/>
        <v/>
      </c>
      <c r="C27" s="157">
        <f>IF(D11="","-",+C26+1)</f>
        <v>2017</v>
      </c>
      <c r="D27" s="371">
        <v>59402.010585003249</v>
      </c>
      <c r="E27" s="368">
        <v>1577.195652173913</v>
      </c>
      <c r="F27" s="371">
        <v>57824.814932829337</v>
      </c>
      <c r="G27" s="368">
        <v>8936.0194589414823</v>
      </c>
      <c r="H27" s="370">
        <v>8936.0194589414823</v>
      </c>
      <c r="I27" s="160">
        <v>0</v>
      </c>
      <c r="J27" s="160"/>
      <c r="K27" s="338">
        <f>G27</f>
        <v>8936.0194589414823</v>
      </c>
      <c r="L27" s="272">
        <f t="shared" si="7"/>
        <v>0</v>
      </c>
      <c r="M27" s="338">
        <f>H27</f>
        <v>8936.0194589414823</v>
      </c>
      <c r="N27" s="162">
        <f t="shared" si="8"/>
        <v>0</v>
      </c>
      <c r="O27" s="162">
        <f t="shared" si="9"/>
        <v>0</v>
      </c>
      <c r="P27" s="4"/>
    </row>
    <row r="28" spans="2:16">
      <c r="B28" s="9" t="str">
        <f t="shared" si="4"/>
        <v/>
      </c>
      <c r="C28" s="157">
        <f>IF(D11="","-",+C27+1)</f>
        <v>2018</v>
      </c>
      <c r="D28" s="371">
        <v>57824.814932829337</v>
      </c>
      <c r="E28" s="368">
        <v>1612.2444444444445</v>
      </c>
      <c r="F28" s="371">
        <v>56212.570488384896</v>
      </c>
      <c r="G28" s="368">
        <v>9219.7957260985368</v>
      </c>
      <c r="H28" s="370">
        <v>9219.7957260985368</v>
      </c>
      <c r="I28" s="160">
        <f t="shared" si="0"/>
        <v>0</v>
      </c>
      <c r="J28" s="160"/>
      <c r="K28" s="338">
        <f>G28</f>
        <v>9219.7957260985368</v>
      </c>
      <c r="L28" s="272">
        <f t="shared" si="7"/>
        <v>0</v>
      </c>
      <c r="M28" s="338">
        <f>H28</f>
        <v>9219.7957260985368</v>
      </c>
      <c r="N28" s="162">
        <f t="shared" si="8"/>
        <v>0</v>
      </c>
      <c r="O28" s="162">
        <f t="shared" si="9"/>
        <v>0</v>
      </c>
      <c r="P28" s="4"/>
    </row>
    <row r="29" spans="2:16">
      <c r="B29" s="9" t="str">
        <f t="shared" si="4"/>
        <v/>
      </c>
      <c r="C29" s="157">
        <f>IF(D11="","-",+C28+1)</f>
        <v>2019</v>
      </c>
      <c r="D29" s="371">
        <v>56212.570488384896</v>
      </c>
      <c r="E29" s="368">
        <v>1612.2444444444445</v>
      </c>
      <c r="F29" s="371">
        <v>54600.326043940455</v>
      </c>
      <c r="G29" s="368">
        <v>9001.6019629756192</v>
      </c>
      <c r="H29" s="370">
        <v>9001.6019629756192</v>
      </c>
      <c r="I29" s="160">
        <f t="shared" si="0"/>
        <v>0</v>
      </c>
      <c r="J29" s="160"/>
      <c r="K29" s="338">
        <f>G29</f>
        <v>9001.6019629756192</v>
      </c>
      <c r="L29" s="272">
        <f t="shared" ref="L29" si="10">IF(K29&lt;&gt;0,+G29-K29,0)</f>
        <v>0</v>
      </c>
      <c r="M29" s="338">
        <f>H29</f>
        <v>9001.6019629756192</v>
      </c>
      <c r="N29" s="162">
        <f t="shared" ref="N29" si="11">IF(M29&lt;&gt;0,+H29-M29,0)</f>
        <v>0</v>
      </c>
      <c r="O29" s="162">
        <f t="shared" ref="O29" si="12">+N29-L29</f>
        <v>0</v>
      </c>
      <c r="P29" s="4"/>
    </row>
    <row r="30" spans="2:16">
      <c r="B30" s="9" t="str">
        <f t="shared" si="4"/>
        <v/>
      </c>
      <c r="C30" s="157">
        <f>IF(D11="","-",+C29+1)</f>
        <v>2020</v>
      </c>
      <c r="D30" s="163">
        <f>IF(F29+SUM(E$17:E29)=D$10,F29,D$10-SUM(E$17:E29))</f>
        <v>54600.326043940455</v>
      </c>
      <c r="E30" s="164">
        <f>IF(+I14&lt;F29,I14,D30)</f>
        <v>1727.4047619047619</v>
      </c>
      <c r="F30" s="163">
        <f t="shared" ref="F30:F48" si="13">+D30-E30</f>
        <v>52872.921282035692</v>
      </c>
      <c r="G30" s="165">
        <f t="shared" ref="G30:G72" si="14">(D30+F30)/2*I$12+E30</f>
        <v>7531.2168125199005</v>
      </c>
      <c r="H30" s="147">
        <f t="shared" ref="H30:H72" si="15">+(D30+F30)/2*I$13+E30</f>
        <v>7531.2168125199005</v>
      </c>
      <c r="I30" s="160">
        <f t="shared" si="0"/>
        <v>0</v>
      </c>
      <c r="J30" s="160"/>
      <c r="K30" s="335"/>
      <c r="L30" s="162">
        <f t="shared" si="1"/>
        <v>0</v>
      </c>
      <c r="M30" s="335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4"/>
        <v/>
      </c>
      <c r="C31" s="157">
        <f>IF(D11="","-",+C30+1)</f>
        <v>2021</v>
      </c>
      <c r="D31" s="163">
        <f>IF(F30+SUM(E$17:E30)=D$10,F30,D$10-SUM(E$17:E30))</f>
        <v>52872.921282035692</v>
      </c>
      <c r="E31" s="164">
        <f>IF(+I14&lt;F30,I14,D31)</f>
        <v>1727.4047619047619</v>
      </c>
      <c r="F31" s="163">
        <f t="shared" si="13"/>
        <v>51145.516520130928</v>
      </c>
      <c r="G31" s="165">
        <f t="shared" si="14"/>
        <v>7344.6488465771854</v>
      </c>
      <c r="H31" s="147">
        <f t="shared" si="15"/>
        <v>7344.6488465771854</v>
      </c>
      <c r="I31" s="160">
        <f t="shared" si="0"/>
        <v>0</v>
      </c>
      <c r="J31" s="160"/>
      <c r="K31" s="335"/>
      <c r="L31" s="162">
        <f t="shared" si="1"/>
        <v>0</v>
      </c>
      <c r="M31" s="335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4"/>
        <v/>
      </c>
      <c r="C32" s="157">
        <f>IF(D11="","-",+C31+1)</f>
        <v>2022</v>
      </c>
      <c r="D32" s="163">
        <f>IF(F31+SUM(E$17:E31)=D$10,F31,D$10-SUM(E$17:E31))</f>
        <v>51145.516520130928</v>
      </c>
      <c r="E32" s="164">
        <f>IF(+I14&lt;F31,I14,D32)</f>
        <v>1727.4047619047619</v>
      </c>
      <c r="F32" s="163">
        <f t="shared" si="13"/>
        <v>49418.111758226165</v>
      </c>
      <c r="G32" s="165">
        <f t="shared" si="14"/>
        <v>7158.0808806344703</v>
      </c>
      <c r="H32" s="147">
        <f t="shared" si="15"/>
        <v>7158.0808806344703</v>
      </c>
      <c r="I32" s="160">
        <f t="shared" si="0"/>
        <v>0</v>
      </c>
      <c r="J32" s="160"/>
      <c r="K32" s="335"/>
      <c r="L32" s="162">
        <f t="shared" si="1"/>
        <v>0</v>
      </c>
      <c r="M32" s="335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4"/>
        <v/>
      </c>
      <c r="C33" s="157">
        <f>IF(D11="","-",+C32+1)</f>
        <v>2023</v>
      </c>
      <c r="D33" s="163">
        <f>IF(F32+SUM(E$17:E32)=D$10,F32,D$10-SUM(E$17:E32))</f>
        <v>49418.111758226165</v>
      </c>
      <c r="E33" s="164">
        <f>IF(+I14&lt;F32,I14,D33)</f>
        <v>1727.4047619047619</v>
      </c>
      <c r="F33" s="163">
        <f t="shared" si="13"/>
        <v>47690.706996321402</v>
      </c>
      <c r="G33" s="165">
        <f t="shared" si="14"/>
        <v>6971.5129146917552</v>
      </c>
      <c r="H33" s="147">
        <f t="shared" si="15"/>
        <v>6971.5129146917552</v>
      </c>
      <c r="I33" s="160">
        <f t="shared" si="0"/>
        <v>0</v>
      </c>
      <c r="J33" s="160"/>
      <c r="K33" s="335"/>
      <c r="L33" s="162">
        <f t="shared" si="1"/>
        <v>0</v>
      </c>
      <c r="M33" s="335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4"/>
        <v/>
      </c>
      <c r="C34" s="157">
        <f>IF(D11="","-",+C33+1)</f>
        <v>2024</v>
      </c>
      <c r="D34" s="163">
        <f>IF(F33+SUM(E$17:E33)=D$10,F33,D$10-SUM(E$17:E33))</f>
        <v>47690.706996321402</v>
      </c>
      <c r="E34" s="164">
        <f>IF(+I14&lt;F33,I14,D34)</f>
        <v>1727.4047619047619</v>
      </c>
      <c r="F34" s="163">
        <f t="shared" si="13"/>
        <v>45963.302234416638</v>
      </c>
      <c r="G34" s="165">
        <f t="shared" si="14"/>
        <v>6784.9449487490401</v>
      </c>
      <c r="H34" s="147">
        <f t="shared" si="15"/>
        <v>6784.9449487490401</v>
      </c>
      <c r="I34" s="160">
        <f t="shared" si="0"/>
        <v>0</v>
      </c>
      <c r="J34" s="160"/>
      <c r="K34" s="335"/>
      <c r="L34" s="162">
        <f t="shared" si="1"/>
        <v>0</v>
      </c>
      <c r="M34" s="335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4"/>
        <v/>
      </c>
      <c r="C35" s="157">
        <f>IF(D11="","-",+C34+1)</f>
        <v>2025</v>
      </c>
      <c r="D35" s="163">
        <f>IF(F34+SUM(E$17:E34)=D$10,F34,D$10-SUM(E$17:E34))</f>
        <v>45963.302234416638</v>
      </c>
      <c r="E35" s="164">
        <f>IF(+I14&lt;F34,I14,D35)</f>
        <v>1727.4047619047619</v>
      </c>
      <c r="F35" s="163">
        <f t="shared" si="13"/>
        <v>44235.897472511875</v>
      </c>
      <c r="G35" s="165">
        <f t="shared" si="14"/>
        <v>6598.3769828063269</v>
      </c>
      <c r="H35" s="147">
        <f t="shared" si="15"/>
        <v>6598.3769828063269</v>
      </c>
      <c r="I35" s="160">
        <f t="shared" si="0"/>
        <v>0</v>
      </c>
      <c r="J35" s="160"/>
      <c r="K35" s="335"/>
      <c r="L35" s="162">
        <f t="shared" si="1"/>
        <v>0</v>
      </c>
      <c r="M35" s="335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4"/>
        <v/>
      </c>
      <c r="C36" s="157">
        <f>IF(D11="","-",+C35+1)</f>
        <v>2026</v>
      </c>
      <c r="D36" s="163">
        <f>IF(F35+SUM(E$17:E35)=D$10,F35,D$10-SUM(E$17:E35))</f>
        <v>44235.897472511875</v>
      </c>
      <c r="E36" s="164">
        <f>IF(+I14&lt;F35,I14,D36)</f>
        <v>1727.4047619047619</v>
      </c>
      <c r="F36" s="163">
        <f t="shared" si="13"/>
        <v>42508.492710607112</v>
      </c>
      <c r="G36" s="165">
        <f t="shared" si="14"/>
        <v>6411.8090168636118</v>
      </c>
      <c r="H36" s="147">
        <f t="shared" si="15"/>
        <v>6411.8090168636118</v>
      </c>
      <c r="I36" s="160">
        <f t="shared" si="0"/>
        <v>0</v>
      </c>
      <c r="J36" s="160"/>
      <c r="K36" s="335"/>
      <c r="L36" s="162">
        <f t="shared" si="1"/>
        <v>0</v>
      </c>
      <c r="M36" s="335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4"/>
        <v/>
      </c>
      <c r="C37" s="157">
        <f>IF(D11="","-",+C36+1)</f>
        <v>2027</v>
      </c>
      <c r="D37" s="163">
        <f>IF(F36+SUM(E$17:E36)=D$10,F36,D$10-SUM(E$17:E36))</f>
        <v>42508.492710607112</v>
      </c>
      <c r="E37" s="164">
        <f>IF(+I14&lt;F36,I14,D37)</f>
        <v>1727.4047619047619</v>
      </c>
      <c r="F37" s="163">
        <f t="shared" si="13"/>
        <v>40781.087948702349</v>
      </c>
      <c r="G37" s="165">
        <f t="shared" si="14"/>
        <v>6225.2410509208967</v>
      </c>
      <c r="H37" s="147">
        <f t="shared" si="15"/>
        <v>6225.2410509208967</v>
      </c>
      <c r="I37" s="160">
        <f t="shared" si="0"/>
        <v>0</v>
      </c>
      <c r="J37" s="160"/>
      <c r="K37" s="335"/>
      <c r="L37" s="162">
        <f t="shared" si="1"/>
        <v>0</v>
      </c>
      <c r="M37" s="335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4"/>
        <v/>
      </c>
      <c r="C38" s="157">
        <f>IF(D11="","-",+C37+1)</f>
        <v>2028</v>
      </c>
      <c r="D38" s="163">
        <f>IF(F37+SUM(E$17:E37)=D$10,F37,D$10-SUM(E$17:E37))</f>
        <v>40781.087948702349</v>
      </c>
      <c r="E38" s="164">
        <f>IF(+I14&lt;F37,I14,D38)</f>
        <v>1727.4047619047619</v>
      </c>
      <c r="F38" s="163">
        <f t="shared" si="13"/>
        <v>39053.683186797585</v>
      </c>
      <c r="G38" s="165">
        <f t="shared" si="14"/>
        <v>6038.6730849781816</v>
      </c>
      <c r="H38" s="147">
        <f t="shared" si="15"/>
        <v>6038.6730849781816</v>
      </c>
      <c r="I38" s="160">
        <f t="shared" si="0"/>
        <v>0</v>
      </c>
      <c r="J38" s="160"/>
      <c r="K38" s="335"/>
      <c r="L38" s="162">
        <f t="shared" si="1"/>
        <v>0</v>
      </c>
      <c r="M38" s="335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4"/>
        <v/>
      </c>
      <c r="C39" s="157">
        <f>IF(D11="","-",+C38+1)</f>
        <v>2029</v>
      </c>
      <c r="D39" s="163">
        <f>IF(F38+SUM(E$17:E38)=D$10,F38,D$10-SUM(E$17:E38))</f>
        <v>39053.683186797585</v>
      </c>
      <c r="E39" s="164">
        <f>IF(+I14&lt;F38,I14,D39)</f>
        <v>1727.4047619047619</v>
      </c>
      <c r="F39" s="163">
        <f t="shared" si="13"/>
        <v>37326.278424892822</v>
      </c>
      <c r="G39" s="165">
        <f t="shared" si="14"/>
        <v>5852.1051190354665</v>
      </c>
      <c r="H39" s="147">
        <f t="shared" si="15"/>
        <v>5852.1051190354665</v>
      </c>
      <c r="I39" s="160">
        <f t="shared" si="0"/>
        <v>0</v>
      </c>
      <c r="J39" s="160"/>
      <c r="K39" s="335"/>
      <c r="L39" s="162">
        <f t="shared" si="1"/>
        <v>0</v>
      </c>
      <c r="M39" s="335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4"/>
        <v/>
      </c>
      <c r="C40" s="157">
        <f>IF(D11="","-",+C39+1)</f>
        <v>2030</v>
      </c>
      <c r="D40" s="163">
        <f>IF(F39+SUM(E$17:E39)=D$10,F39,D$10-SUM(E$17:E39))</f>
        <v>37326.278424892822</v>
      </c>
      <c r="E40" s="164">
        <f>IF(+I14&lt;F39,I14,D40)</f>
        <v>1727.4047619047619</v>
      </c>
      <c r="F40" s="163">
        <f t="shared" si="13"/>
        <v>35598.873662988059</v>
      </c>
      <c r="G40" s="165">
        <f t="shared" si="14"/>
        <v>5665.5371530927523</v>
      </c>
      <c r="H40" s="147">
        <f t="shared" si="15"/>
        <v>5665.5371530927523</v>
      </c>
      <c r="I40" s="160">
        <f t="shared" si="0"/>
        <v>0</v>
      </c>
      <c r="J40" s="160"/>
      <c r="K40" s="335"/>
      <c r="L40" s="162">
        <f t="shared" si="1"/>
        <v>0</v>
      </c>
      <c r="M40" s="335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4"/>
        <v/>
      </c>
      <c r="C41" s="157">
        <f>IF(D11="","-",+C40+1)</f>
        <v>2031</v>
      </c>
      <c r="D41" s="163">
        <f>IF(F40+SUM(E$17:E40)=D$10,F40,D$10-SUM(E$17:E40))</f>
        <v>35598.873662988059</v>
      </c>
      <c r="E41" s="164">
        <f>IF(+I14&lt;F40,I14,D41)</f>
        <v>1727.4047619047619</v>
      </c>
      <c r="F41" s="163">
        <f t="shared" si="13"/>
        <v>33871.468901083295</v>
      </c>
      <c r="G41" s="165">
        <f t="shared" si="14"/>
        <v>5478.9691871500381</v>
      </c>
      <c r="H41" s="147">
        <f t="shared" si="15"/>
        <v>5478.9691871500381</v>
      </c>
      <c r="I41" s="160">
        <f t="shared" si="0"/>
        <v>0</v>
      </c>
      <c r="J41" s="160"/>
      <c r="K41" s="335"/>
      <c r="L41" s="162">
        <f t="shared" si="1"/>
        <v>0</v>
      </c>
      <c r="M41" s="335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4"/>
        <v/>
      </c>
      <c r="C42" s="157">
        <f>IF(D11="","-",+C41+1)</f>
        <v>2032</v>
      </c>
      <c r="D42" s="163">
        <f>IF(F41+SUM(E$17:E41)=D$10,F41,D$10-SUM(E$17:E41))</f>
        <v>33871.468901083295</v>
      </c>
      <c r="E42" s="164">
        <f>IF(+I14&lt;F41,I14,D42)</f>
        <v>1727.4047619047619</v>
      </c>
      <c r="F42" s="163">
        <f t="shared" si="13"/>
        <v>32144.064139178532</v>
      </c>
      <c r="G42" s="165">
        <f t="shared" si="14"/>
        <v>5292.401221207323</v>
      </c>
      <c r="H42" s="147">
        <f t="shared" si="15"/>
        <v>5292.401221207323</v>
      </c>
      <c r="I42" s="160">
        <f t="shared" si="0"/>
        <v>0</v>
      </c>
      <c r="J42" s="160"/>
      <c r="K42" s="335"/>
      <c r="L42" s="162">
        <f t="shared" si="1"/>
        <v>0</v>
      </c>
      <c r="M42" s="335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4"/>
        <v/>
      </c>
      <c r="C43" s="157">
        <f>IF(D11="","-",+C42+1)</f>
        <v>2033</v>
      </c>
      <c r="D43" s="163">
        <f>IF(F42+SUM(E$17:E42)=D$10,F42,D$10-SUM(E$17:E42))</f>
        <v>32144.064139178532</v>
      </c>
      <c r="E43" s="164">
        <f>IF(+I14&lt;F42,I14,D43)</f>
        <v>1727.4047619047619</v>
      </c>
      <c r="F43" s="163">
        <f t="shared" si="13"/>
        <v>30416.659377273769</v>
      </c>
      <c r="G43" s="165">
        <f t="shared" si="14"/>
        <v>5105.8332552646079</v>
      </c>
      <c r="H43" s="147">
        <f t="shared" si="15"/>
        <v>5105.8332552646079</v>
      </c>
      <c r="I43" s="160">
        <f t="shared" si="0"/>
        <v>0</v>
      </c>
      <c r="J43" s="160"/>
      <c r="K43" s="335"/>
      <c r="L43" s="162">
        <f t="shared" si="1"/>
        <v>0</v>
      </c>
      <c r="M43" s="335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4"/>
        <v/>
      </c>
      <c r="C44" s="157">
        <f>IF(D11="","-",+C43+1)</f>
        <v>2034</v>
      </c>
      <c r="D44" s="163">
        <f>IF(F43+SUM(E$17:E43)=D$10,F43,D$10-SUM(E$17:E43))</f>
        <v>30416.659377273769</v>
      </c>
      <c r="E44" s="164">
        <f>IF(+I14&lt;F43,I14,D44)</f>
        <v>1727.4047619047619</v>
      </c>
      <c r="F44" s="163">
        <f t="shared" si="13"/>
        <v>28689.254615369005</v>
      </c>
      <c r="G44" s="165">
        <f t="shared" si="14"/>
        <v>4919.2652893218929</v>
      </c>
      <c r="H44" s="147">
        <f t="shared" si="15"/>
        <v>4919.2652893218929</v>
      </c>
      <c r="I44" s="160">
        <f t="shared" si="0"/>
        <v>0</v>
      </c>
      <c r="J44" s="160"/>
      <c r="K44" s="335"/>
      <c r="L44" s="162">
        <f t="shared" si="1"/>
        <v>0</v>
      </c>
      <c r="M44" s="335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4"/>
        <v/>
      </c>
      <c r="C45" s="157">
        <f>IF(D11="","-",+C44+1)</f>
        <v>2035</v>
      </c>
      <c r="D45" s="163">
        <f>IF(F44+SUM(E$17:E44)=D$10,F44,D$10-SUM(E$17:E44))</f>
        <v>28689.254615369005</v>
      </c>
      <c r="E45" s="164">
        <f>IF(+I14&lt;F44,I14,D45)</f>
        <v>1727.4047619047619</v>
      </c>
      <c r="F45" s="163">
        <f t="shared" si="13"/>
        <v>26961.849853464242</v>
      </c>
      <c r="G45" s="165">
        <f t="shared" si="14"/>
        <v>4732.6973233791787</v>
      </c>
      <c r="H45" s="147">
        <f t="shared" si="15"/>
        <v>4732.6973233791787</v>
      </c>
      <c r="I45" s="160">
        <f t="shared" si="0"/>
        <v>0</v>
      </c>
      <c r="J45" s="160"/>
      <c r="K45" s="335"/>
      <c r="L45" s="162">
        <f t="shared" si="1"/>
        <v>0</v>
      </c>
      <c r="M45" s="335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4"/>
        <v/>
      </c>
      <c r="C46" s="157">
        <f>IF(D11="","-",+C45+1)</f>
        <v>2036</v>
      </c>
      <c r="D46" s="163">
        <f>IF(F45+SUM(E$17:E45)=D$10,F45,D$10-SUM(E$17:E45))</f>
        <v>26961.849853464242</v>
      </c>
      <c r="E46" s="164">
        <f>IF(+I14&lt;F45,I14,D46)</f>
        <v>1727.4047619047619</v>
      </c>
      <c r="F46" s="163">
        <f t="shared" si="13"/>
        <v>25234.445091559479</v>
      </c>
      <c r="G46" s="165">
        <f t="shared" si="14"/>
        <v>4546.1293574364645</v>
      </c>
      <c r="H46" s="147">
        <f t="shared" si="15"/>
        <v>4546.1293574364645</v>
      </c>
      <c r="I46" s="160">
        <f t="shared" si="0"/>
        <v>0</v>
      </c>
      <c r="J46" s="160"/>
      <c r="K46" s="335"/>
      <c r="L46" s="162">
        <f t="shared" si="1"/>
        <v>0</v>
      </c>
      <c r="M46" s="335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4"/>
        <v/>
      </c>
      <c r="C47" s="157">
        <f>IF(D11="","-",+C46+1)</f>
        <v>2037</v>
      </c>
      <c r="D47" s="163">
        <f>IF(F46+SUM(E$17:E46)=D$10,F46,D$10-SUM(E$17:E46))</f>
        <v>25234.445091559479</v>
      </c>
      <c r="E47" s="164">
        <f>IF(+I14&lt;F46,I14,D47)</f>
        <v>1727.4047619047619</v>
      </c>
      <c r="F47" s="163">
        <f t="shared" si="13"/>
        <v>23507.040329654716</v>
      </c>
      <c r="G47" s="165">
        <f t="shared" si="14"/>
        <v>4359.5613914937494</v>
      </c>
      <c r="H47" s="147">
        <f t="shared" si="15"/>
        <v>4359.5613914937494</v>
      </c>
      <c r="I47" s="160">
        <f t="shared" si="0"/>
        <v>0</v>
      </c>
      <c r="J47" s="160"/>
      <c r="K47" s="335"/>
      <c r="L47" s="162">
        <f t="shared" si="1"/>
        <v>0</v>
      </c>
      <c r="M47" s="335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4"/>
        <v/>
      </c>
      <c r="C48" s="157">
        <f>IF(D11="","-",+C47+1)</f>
        <v>2038</v>
      </c>
      <c r="D48" s="163">
        <f>IF(F47+SUM(E$17:E47)=D$10,F47,D$10-SUM(E$17:E47))</f>
        <v>23507.040329654716</v>
      </c>
      <c r="E48" s="164">
        <f>IF(+I14&lt;F47,I14,D48)</f>
        <v>1727.4047619047619</v>
      </c>
      <c r="F48" s="163">
        <f t="shared" si="13"/>
        <v>21779.635567749952</v>
      </c>
      <c r="G48" s="165">
        <f t="shared" si="14"/>
        <v>4172.9934255510343</v>
      </c>
      <c r="H48" s="147">
        <f t="shared" si="15"/>
        <v>4172.9934255510343</v>
      </c>
      <c r="I48" s="160">
        <f t="shared" si="0"/>
        <v>0</v>
      </c>
      <c r="J48" s="160"/>
      <c r="K48" s="335"/>
      <c r="L48" s="162">
        <f t="shared" si="1"/>
        <v>0</v>
      </c>
      <c r="M48" s="335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4"/>
        <v/>
      </c>
      <c r="C49" s="157">
        <f>IF(D11="","-",+C48+1)</f>
        <v>2039</v>
      </c>
      <c r="D49" s="163">
        <f>IF(F48+SUM(E$17:E48)=D$10,F48,D$10-SUM(E$17:E48))</f>
        <v>21779.635567749952</v>
      </c>
      <c r="E49" s="164">
        <f>IF(+I14&lt;F48,I14,D49)</f>
        <v>1727.4047619047619</v>
      </c>
      <c r="F49" s="163">
        <f t="shared" ref="F49:F72" si="16">+D49-E49</f>
        <v>20052.230805845189</v>
      </c>
      <c r="G49" s="165">
        <f t="shared" si="14"/>
        <v>3986.4254596083197</v>
      </c>
      <c r="H49" s="147">
        <f t="shared" si="15"/>
        <v>3986.4254596083197</v>
      </c>
      <c r="I49" s="160">
        <f t="shared" ref="I49:I72" si="17">H49-G49</f>
        <v>0</v>
      </c>
      <c r="J49" s="160"/>
      <c r="K49" s="335"/>
      <c r="L49" s="162">
        <f t="shared" ref="L49:L72" si="18">IF(K49&lt;&gt;0,+G49-K49,0)</f>
        <v>0</v>
      </c>
      <c r="M49" s="335"/>
      <c r="N49" s="162">
        <f t="shared" ref="N49:N72" si="19">IF(M49&lt;&gt;0,+H49-M49,0)</f>
        <v>0</v>
      </c>
      <c r="O49" s="162">
        <f t="shared" ref="O49:O72" si="20">+N49-L49</f>
        <v>0</v>
      </c>
      <c r="P49" s="4"/>
    </row>
    <row r="50" spans="2:16">
      <c r="B50" s="9" t="str">
        <f t="shared" si="4"/>
        <v/>
      </c>
      <c r="C50" s="157">
        <f>IF(D11="","-",+C49+1)</f>
        <v>2040</v>
      </c>
      <c r="D50" s="163">
        <f>IF(F49+SUM(E$17:E49)=D$10,F49,D$10-SUM(E$17:E49))</f>
        <v>20052.230805845189</v>
      </c>
      <c r="E50" s="164">
        <f>IF(+I14&lt;F49,I14,D50)</f>
        <v>1727.4047619047619</v>
      </c>
      <c r="F50" s="163">
        <f t="shared" si="16"/>
        <v>18324.826043940426</v>
      </c>
      <c r="G50" s="165">
        <f t="shared" si="14"/>
        <v>3799.857493665605</v>
      </c>
      <c r="H50" s="147">
        <f t="shared" si="15"/>
        <v>3799.857493665605</v>
      </c>
      <c r="I50" s="160">
        <f t="shared" si="17"/>
        <v>0</v>
      </c>
      <c r="J50" s="160"/>
      <c r="K50" s="335"/>
      <c r="L50" s="162">
        <f t="shared" si="18"/>
        <v>0</v>
      </c>
      <c r="M50" s="335"/>
      <c r="N50" s="162">
        <f t="shared" si="19"/>
        <v>0</v>
      </c>
      <c r="O50" s="162">
        <f t="shared" si="20"/>
        <v>0</v>
      </c>
      <c r="P50" s="4"/>
    </row>
    <row r="51" spans="2:16">
      <c r="B51" s="9" t="str">
        <f t="shared" si="4"/>
        <v/>
      </c>
      <c r="C51" s="157">
        <f>IF(D11="","-",+C50+1)</f>
        <v>2041</v>
      </c>
      <c r="D51" s="163">
        <f>IF(F50+SUM(E$17:E50)=D$10,F50,D$10-SUM(E$17:E50))</f>
        <v>18324.826043940426</v>
      </c>
      <c r="E51" s="164">
        <f>IF(+I14&lt;F50,I14,D51)</f>
        <v>1727.4047619047619</v>
      </c>
      <c r="F51" s="163">
        <f t="shared" si="16"/>
        <v>16597.421282035662</v>
      </c>
      <c r="G51" s="165">
        <f t="shared" si="14"/>
        <v>3613.2895277228899</v>
      </c>
      <c r="H51" s="147">
        <f t="shared" si="15"/>
        <v>3613.2895277228899</v>
      </c>
      <c r="I51" s="160">
        <f t="shared" si="17"/>
        <v>0</v>
      </c>
      <c r="J51" s="160"/>
      <c r="K51" s="335"/>
      <c r="L51" s="162">
        <f t="shared" si="18"/>
        <v>0</v>
      </c>
      <c r="M51" s="335"/>
      <c r="N51" s="162">
        <f t="shared" si="19"/>
        <v>0</v>
      </c>
      <c r="O51" s="162">
        <f t="shared" si="20"/>
        <v>0</v>
      </c>
      <c r="P51" s="4"/>
    </row>
    <row r="52" spans="2:16">
      <c r="B52" s="9" t="str">
        <f t="shared" si="4"/>
        <v/>
      </c>
      <c r="C52" s="157">
        <f>IF(D11="","-",+C51+1)</f>
        <v>2042</v>
      </c>
      <c r="D52" s="163">
        <f>IF(F51+SUM(E$17:E51)=D$10,F51,D$10-SUM(E$17:E51))</f>
        <v>16597.421282035662</v>
      </c>
      <c r="E52" s="164">
        <f>IF(+I14&lt;F51,I14,D52)</f>
        <v>1727.4047619047619</v>
      </c>
      <c r="F52" s="163">
        <f t="shared" si="16"/>
        <v>14870.016520130901</v>
      </c>
      <c r="G52" s="165">
        <f t="shared" si="14"/>
        <v>3426.7215617801753</v>
      </c>
      <c r="H52" s="147">
        <f t="shared" si="15"/>
        <v>3426.7215617801753</v>
      </c>
      <c r="I52" s="160">
        <f t="shared" si="17"/>
        <v>0</v>
      </c>
      <c r="J52" s="160"/>
      <c r="K52" s="335"/>
      <c r="L52" s="162">
        <f t="shared" si="18"/>
        <v>0</v>
      </c>
      <c r="M52" s="335"/>
      <c r="N52" s="162">
        <f t="shared" si="19"/>
        <v>0</v>
      </c>
      <c r="O52" s="162">
        <f t="shared" si="20"/>
        <v>0</v>
      </c>
      <c r="P52" s="4"/>
    </row>
    <row r="53" spans="2:16">
      <c r="B53" s="9" t="str">
        <f t="shared" si="4"/>
        <v/>
      </c>
      <c r="C53" s="157">
        <f>IF(D11="","-",+C52+1)</f>
        <v>2043</v>
      </c>
      <c r="D53" s="163">
        <f>IF(F52+SUM(E$17:E52)=D$10,F52,D$10-SUM(E$17:E52))</f>
        <v>14870.016520130901</v>
      </c>
      <c r="E53" s="164">
        <f>IF(+I14&lt;F52,I14,D53)</f>
        <v>1727.4047619047619</v>
      </c>
      <c r="F53" s="163">
        <f t="shared" si="16"/>
        <v>13142.61175822614</v>
      </c>
      <c r="G53" s="165">
        <f t="shared" si="14"/>
        <v>3240.1535958374607</v>
      </c>
      <c r="H53" s="147">
        <f t="shared" si="15"/>
        <v>3240.1535958374607</v>
      </c>
      <c r="I53" s="160">
        <f t="shared" si="17"/>
        <v>0</v>
      </c>
      <c r="J53" s="160"/>
      <c r="K53" s="335"/>
      <c r="L53" s="162">
        <f t="shared" si="18"/>
        <v>0</v>
      </c>
      <c r="M53" s="335"/>
      <c r="N53" s="162">
        <f t="shared" si="19"/>
        <v>0</v>
      </c>
      <c r="O53" s="162">
        <f t="shared" si="20"/>
        <v>0</v>
      </c>
      <c r="P53" s="4"/>
    </row>
    <row r="54" spans="2:16">
      <c r="B54" s="9" t="str">
        <f t="shared" si="4"/>
        <v/>
      </c>
      <c r="C54" s="157">
        <f>IF(D11="","-",+C53+1)</f>
        <v>2044</v>
      </c>
      <c r="D54" s="163">
        <f>IF(F53+SUM(E$17:E53)=D$10,F53,D$10-SUM(E$17:E53))</f>
        <v>13142.61175822614</v>
      </c>
      <c r="E54" s="164">
        <f>IF(+I14&lt;F53,I14,D54)</f>
        <v>1727.4047619047619</v>
      </c>
      <c r="F54" s="163">
        <f t="shared" si="16"/>
        <v>11415.206996321378</v>
      </c>
      <c r="G54" s="165">
        <f t="shared" si="14"/>
        <v>3053.5856298947465</v>
      </c>
      <c r="H54" s="147">
        <f t="shared" si="15"/>
        <v>3053.5856298947465</v>
      </c>
      <c r="I54" s="160">
        <f t="shared" si="17"/>
        <v>0</v>
      </c>
      <c r="J54" s="160"/>
      <c r="K54" s="335"/>
      <c r="L54" s="162">
        <f t="shared" si="18"/>
        <v>0</v>
      </c>
      <c r="M54" s="335"/>
      <c r="N54" s="162">
        <f t="shared" si="19"/>
        <v>0</v>
      </c>
      <c r="O54" s="162">
        <f t="shared" si="20"/>
        <v>0</v>
      </c>
      <c r="P54" s="4"/>
    </row>
    <row r="55" spans="2:16">
      <c r="B55" s="9" t="str">
        <f t="shared" si="4"/>
        <v/>
      </c>
      <c r="C55" s="157">
        <f>IF(D11="","-",+C54+1)</f>
        <v>2045</v>
      </c>
      <c r="D55" s="163">
        <f>IF(F54+SUM(E$17:E54)=D$10,F54,D$10-SUM(E$17:E54))</f>
        <v>11415.206996321378</v>
      </c>
      <c r="E55" s="164">
        <f>IF(+I14&lt;F54,I14,D55)</f>
        <v>1727.4047619047619</v>
      </c>
      <c r="F55" s="163">
        <f t="shared" si="16"/>
        <v>9687.8022344166166</v>
      </c>
      <c r="G55" s="165">
        <f t="shared" si="14"/>
        <v>2867.0176639520319</v>
      </c>
      <c r="H55" s="147">
        <f t="shared" si="15"/>
        <v>2867.0176639520319</v>
      </c>
      <c r="I55" s="160">
        <f t="shared" si="17"/>
        <v>0</v>
      </c>
      <c r="J55" s="160"/>
      <c r="K55" s="335"/>
      <c r="L55" s="162">
        <f t="shared" si="18"/>
        <v>0</v>
      </c>
      <c r="M55" s="335"/>
      <c r="N55" s="162">
        <f t="shared" si="19"/>
        <v>0</v>
      </c>
      <c r="O55" s="162">
        <f t="shared" si="20"/>
        <v>0</v>
      </c>
      <c r="P55" s="4"/>
    </row>
    <row r="56" spans="2:16">
      <c r="B56" s="9" t="str">
        <f t="shared" si="4"/>
        <v/>
      </c>
      <c r="C56" s="157">
        <f>IF(D11="","-",+C55+1)</f>
        <v>2046</v>
      </c>
      <c r="D56" s="163">
        <f>IF(F55+SUM(E$17:E55)=D$10,F55,D$10-SUM(E$17:E55))</f>
        <v>9687.8022344166166</v>
      </c>
      <c r="E56" s="164">
        <f>IF(+I14&lt;F55,I14,D56)</f>
        <v>1727.4047619047619</v>
      </c>
      <c r="F56" s="163">
        <f t="shared" si="16"/>
        <v>7960.3974725118551</v>
      </c>
      <c r="G56" s="165">
        <f t="shared" si="14"/>
        <v>2680.4496980093172</v>
      </c>
      <c r="H56" s="147">
        <f t="shared" si="15"/>
        <v>2680.4496980093172</v>
      </c>
      <c r="I56" s="160">
        <f t="shared" si="17"/>
        <v>0</v>
      </c>
      <c r="J56" s="160"/>
      <c r="K56" s="335"/>
      <c r="L56" s="162">
        <f t="shared" si="18"/>
        <v>0</v>
      </c>
      <c r="M56" s="335"/>
      <c r="N56" s="162">
        <f t="shared" si="19"/>
        <v>0</v>
      </c>
      <c r="O56" s="162">
        <f t="shared" si="20"/>
        <v>0</v>
      </c>
      <c r="P56" s="4"/>
    </row>
    <row r="57" spans="2:16">
      <c r="B57" s="9" t="str">
        <f t="shared" si="4"/>
        <v/>
      </c>
      <c r="C57" s="157">
        <f>IF(D11="","-",+C56+1)</f>
        <v>2047</v>
      </c>
      <c r="D57" s="163">
        <f>IF(F56+SUM(E$17:E56)=D$10,F56,D$10-SUM(E$17:E56))</f>
        <v>7960.3974725118551</v>
      </c>
      <c r="E57" s="164">
        <f>IF(+I14&lt;F56,I14,D57)</f>
        <v>1727.4047619047619</v>
      </c>
      <c r="F57" s="163">
        <f t="shared" si="16"/>
        <v>6232.9927106070936</v>
      </c>
      <c r="G57" s="165">
        <f t="shared" si="14"/>
        <v>2493.8817320666026</v>
      </c>
      <c r="H57" s="147">
        <f t="shared" si="15"/>
        <v>2493.8817320666026</v>
      </c>
      <c r="I57" s="160">
        <f t="shared" si="17"/>
        <v>0</v>
      </c>
      <c r="J57" s="160"/>
      <c r="K57" s="335"/>
      <c r="L57" s="162">
        <f t="shared" si="18"/>
        <v>0</v>
      </c>
      <c r="M57" s="335"/>
      <c r="N57" s="162">
        <f t="shared" si="19"/>
        <v>0</v>
      </c>
      <c r="O57" s="162">
        <f t="shared" si="20"/>
        <v>0</v>
      </c>
      <c r="P57" s="4"/>
    </row>
    <row r="58" spans="2:16">
      <c r="B58" s="9" t="str">
        <f t="shared" si="4"/>
        <v/>
      </c>
      <c r="C58" s="157">
        <f>IF(D11="","-",+C57+1)</f>
        <v>2048</v>
      </c>
      <c r="D58" s="163">
        <f>IF(F57+SUM(E$17:E57)=D$10,F57,D$10-SUM(E$17:E57))</f>
        <v>6232.9927106070936</v>
      </c>
      <c r="E58" s="164">
        <f>IF(+I14&lt;F57,I14,D58)</f>
        <v>1727.4047619047619</v>
      </c>
      <c r="F58" s="163">
        <f t="shared" si="16"/>
        <v>4505.5879487023321</v>
      </c>
      <c r="G58" s="165">
        <f t="shared" si="14"/>
        <v>2307.3137661238879</v>
      </c>
      <c r="H58" s="147">
        <f t="shared" si="15"/>
        <v>2307.3137661238879</v>
      </c>
      <c r="I58" s="160">
        <f t="shared" si="17"/>
        <v>0</v>
      </c>
      <c r="J58" s="160"/>
      <c r="K58" s="335"/>
      <c r="L58" s="162">
        <f t="shared" si="18"/>
        <v>0</v>
      </c>
      <c r="M58" s="335"/>
      <c r="N58" s="162">
        <f t="shared" si="19"/>
        <v>0</v>
      </c>
      <c r="O58" s="162">
        <f t="shared" si="20"/>
        <v>0</v>
      </c>
      <c r="P58" s="4"/>
    </row>
    <row r="59" spans="2:16">
      <c r="B59" s="9" t="str">
        <f t="shared" si="4"/>
        <v/>
      </c>
      <c r="C59" s="157">
        <f>IF(D11="","-",+C58+1)</f>
        <v>2049</v>
      </c>
      <c r="D59" s="163">
        <f>IF(F58+SUM(E$17:E58)=D$10,F58,D$10-SUM(E$17:E58))</f>
        <v>4505.5879487023321</v>
      </c>
      <c r="E59" s="164">
        <f>IF(+I14&lt;F58,I14,D59)</f>
        <v>1727.4047619047619</v>
      </c>
      <c r="F59" s="163">
        <f t="shared" si="16"/>
        <v>2778.1831867975702</v>
      </c>
      <c r="G59" s="165">
        <f t="shared" si="14"/>
        <v>2120.7458001811738</v>
      </c>
      <c r="H59" s="147">
        <f t="shared" si="15"/>
        <v>2120.7458001811738</v>
      </c>
      <c r="I59" s="160">
        <f t="shared" si="17"/>
        <v>0</v>
      </c>
      <c r="J59" s="160"/>
      <c r="K59" s="335"/>
      <c r="L59" s="162">
        <f t="shared" si="18"/>
        <v>0</v>
      </c>
      <c r="M59" s="335"/>
      <c r="N59" s="162">
        <f t="shared" si="19"/>
        <v>0</v>
      </c>
      <c r="O59" s="162">
        <f t="shared" si="20"/>
        <v>0</v>
      </c>
      <c r="P59" s="4"/>
    </row>
    <row r="60" spans="2:16">
      <c r="B60" s="9" t="str">
        <f t="shared" si="4"/>
        <v/>
      </c>
      <c r="C60" s="157">
        <f>IF(D11="","-",+C59+1)</f>
        <v>2050</v>
      </c>
      <c r="D60" s="163">
        <f>IF(F59+SUM(E$17:E59)=D$10,F59,D$10-SUM(E$17:E59))</f>
        <v>2778.1831867975702</v>
      </c>
      <c r="E60" s="164">
        <f>IF(+I14&lt;F59,I14,D60)</f>
        <v>1727.4047619047619</v>
      </c>
      <c r="F60" s="163">
        <f t="shared" si="16"/>
        <v>1050.7784248928083</v>
      </c>
      <c r="G60" s="165">
        <f t="shared" si="14"/>
        <v>1934.1778342384589</v>
      </c>
      <c r="H60" s="147">
        <f t="shared" si="15"/>
        <v>1934.1778342384589</v>
      </c>
      <c r="I60" s="160">
        <f t="shared" si="17"/>
        <v>0</v>
      </c>
      <c r="J60" s="160"/>
      <c r="K60" s="335"/>
      <c r="L60" s="162">
        <f t="shared" si="18"/>
        <v>0</v>
      </c>
      <c r="M60" s="335"/>
      <c r="N60" s="162">
        <f t="shared" si="19"/>
        <v>0</v>
      </c>
      <c r="O60" s="162">
        <f t="shared" si="20"/>
        <v>0</v>
      </c>
      <c r="P60" s="4"/>
    </row>
    <row r="61" spans="2:16">
      <c r="B61" s="9" t="str">
        <f t="shared" si="4"/>
        <v/>
      </c>
      <c r="C61" s="157">
        <f>IF(D11="","-",+C60+1)</f>
        <v>2051</v>
      </c>
      <c r="D61" s="163">
        <f>IF(F60+SUM(E$17:E60)=D$10,F60,D$10-SUM(E$17:E60))</f>
        <v>1050.7784248928083</v>
      </c>
      <c r="E61" s="164">
        <f>IF(+I14&lt;F60,I14,D61)</f>
        <v>1050.7784248928083</v>
      </c>
      <c r="F61" s="163">
        <f t="shared" si="16"/>
        <v>0</v>
      </c>
      <c r="G61" s="165">
        <f t="shared" si="14"/>
        <v>1107.5229695739781</v>
      </c>
      <c r="H61" s="147">
        <f t="shared" si="15"/>
        <v>1107.5229695739781</v>
      </c>
      <c r="I61" s="160">
        <f t="shared" si="17"/>
        <v>0</v>
      </c>
      <c r="J61" s="160"/>
      <c r="K61" s="335"/>
      <c r="L61" s="162">
        <f t="shared" si="18"/>
        <v>0</v>
      </c>
      <c r="M61" s="335"/>
      <c r="N61" s="162">
        <f t="shared" si="19"/>
        <v>0</v>
      </c>
      <c r="O61" s="162">
        <f t="shared" si="20"/>
        <v>0</v>
      </c>
      <c r="P61" s="4"/>
    </row>
    <row r="62" spans="2:16">
      <c r="B62" s="9" t="str">
        <f t="shared" si="4"/>
        <v/>
      </c>
      <c r="C62" s="157">
        <f>IF(D11="","-",+C61+1)</f>
        <v>2052</v>
      </c>
      <c r="D62" s="163">
        <f>IF(F61+SUM(E$17:E61)=D$10,F61,D$10-SUM(E$17:E61))</f>
        <v>0</v>
      </c>
      <c r="E62" s="164">
        <f>IF(+I14&lt;F61,I14,D62)</f>
        <v>0</v>
      </c>
      <c r="F62" s="163">
        <f t="shared" si="16"/>
        <v>0</v>
      </c>
      <c r="G62" s="165">
        <f t="shared" si="14"/>
        <v>0</v>
      </c>
      <c r="H62" s="147">
        <f t="shared" si="15"/>
        <v>0</v>
      </c>
      <c r="I62" s="160">
        <f t="shared" si="17"/>
        <v>0</v>
      </c>
      <c r="J62" s="160"/>
      <c r="K62" s="335"/>
      <c r="L62" s="162">
        <f t="shared" si="18"/>
        <v>0</v>
      </c>
      <c r="M62" s="335"/>
      <c r="N62" s="162">
        <f t="shared" si="19"/>
        <v>0</v>
      </c>
      <c r="O62" s="162">
        <f t="shared" si="20"/>
        <v>0</v>
      </c>
      <c r="P62" s="4"/>
    </row>
    <row r="63" spans="2:16">
      <c r="B63" s="9" t="str">
        <f t="shared" si="4"/>
        <v/>
      </c>
      <c r="C63" s="157">
        <f>IF(D11="","-",+C62+1)</f>
        <v>2053</v>
      </c>
      <c r="D63" s="163">
        <f>IF(F62+SUM(E$17:E62)=D$10,F62,D$10-SUM(E$17:E62))</f>
        <v>0</v>
      </c>
      <c r="E63" s="164">
        <f>IF(+I14&lt;F62,I14,D63)</f>
        <v>0</v>
      </c>
      <c r="F63" s="163">
        <f t="shared" si="16"/>
        <v>0</v>
      </c>
      <c r="G63" s="165">
        <f t="shared" si="14"/>
        <v>0</v>
      </c>
      <c r="H63" s="147">
        <f t="shared" si="15"/>
        <v>0</v>
      </c>
      <c r="I63" s="160">
        <f t="shared" si="17"/>
        <v>0</v>
      </c>
      <c r="J63" s="160"/>
      <c r="K63" s="335"/>
      <c r="L63" s="162">
        <f t="shared" si="18"/>
        <v>0</v>
      </c>
      <c r="M63" s="335"/>
      <c r="N63" s="162">
        <f t="shared" si="19"/>
        <v>0</v>
      </c>
      <c r="O63" s="162">
        <f t="shared" si="20"/>
        <v>0</v>
      </c>
      <c r="P63" s="4"/>
    </row>
    <row r="64" spans="2:16">
      <c r="B64" s="9" t="str">
        <f t="shared" si="4"/>
        <v/>
      </c>
      <c r="C64" s="157">
        <f>IF(D11="","-",+C63+1)</f>
        <v>2054</v>
      </c>
      <c r="D64" s="163">
        <f>IF(F63+SUM(E$17:E63)=D$10,F63,D$10-SUM(E$17:E63))</f>
        <v>0</v>
      </c>
      <c r="E64" s="164">
        <f>IF(+I14&lt;F63,I14,D64)</f>
        <v>0</v>
      </c>
      <c r="F64" s="163">
        <f t="shared" si="16"/>
        <v>0</v>
      </c>
      <c r="G64" s="165">
        <f t="shared" si="14"/>
        <v>0</v>
      </c>
      <c r="H64" s="147">
        <f t="shared" si="15"/>
        <v>0</v>
      </c>
      <c r="I64" s="160">
        <f t="shared" si="17"/>
        <v>0</v>
      </c>
      <c r="J64" s="160"/>
      <c r="K64" s="335"/>
      <c r="L64" s="162">
        <f t="shared" si="18"/>
        <v>0</v>
      </c>
      <c r="M64" s="335"/>
      <c r="N64" s="162">
        <f t="shared" si="19"/>
        <v>0</v>
      </c>
      <c r="O64" s="162">
        <f t="shared" si="20"/>
        <v>0</v>
      </c>
      <c r="P64" s="4"/>
    </row>
    <row r="65" spans="2:16">
      <c r="B65" s="9" t="str">
        <f t="shared" si="4"/>
        <v/>
      </c>
      <c r="C65" s="157">
        <f>IF(D11="","-",+C64+1)</f>
        <v>2055</v>
      </c>
      <c r="D65" s="163">
        <f>IF(F64+SUM(E$17:E64)=D$10,F64,D$10-SUM(E$17:E64))</f>
        <v>0</v>
      </c>
      <c r="E65" s="164">
        <f>IF(+I14&lt;F64,I14,D65)</f>
        <v>0</v>
      </c>
      <c r="F65" s="163">
        <f t="shared" si="16"/>
        <v>0</v>
      </c>
      <c r="G65" s="165">
        <f t="shared" si="14"/>
        <v>0</v>
      </c>
      <c r="H65" s="147">
        <f t="shared" si="15"/>
        <v>0</v>
      </c>
      <c r="I65" s="160">
        <f t="shared" si="17"/>
        <v>0</v>
      </c>
      <c r="J65" s="160"/>
      <c r="K65" s="335"/>
      <c r="L65" s="162">
        <f t="shared" si="18"/>
        <v>0</v>
      </c>
      <c r="M65" s="335"/>
      <c r="N65" s="162">
        <f t="shared" si="19"/>
        <v>0</v>
      </c>
      <c r="O65" s="162">
        <f t="shared" si="20"/>
        <v>0</v>
      </c>
      <c r="P65" s="4"/>
    </row>
    <row r="66" spans="2:16">
      <c r="B66" s="9" t="str">
        <f t="shared" si="4"/>
        <v/>
      </c>
      <c r="C66" s="157">
        <f>IF(D11="","-",+C65+1)</f>
        <v>2056</v>
      </c>
      <c r="D66" s="163">
        <f>IF(F65+SUM(E$17:E65)=D$10,F65,D$10-SUM(E$17:E65))</f>
        <v>0</v>
      </c>
      <c r="E66" s="164">
        <f>IF(+I14&lt;F65,I14,D66)</f>
        <v>0</v>
      </c>
      <c r="F66" s="163">
        <f t="shared" si="16"/>
        <v>0</v>
      </c>
      <c r="G66" s="165">
        <f t="shared" si="14"/>
        <v>0</v>
      </c>
      <c r="H66" s="147">
        <f t="shared" si="15"/>
        <v>0</v>
      </c>
      <c r="I66" s="160">
        <f t="shared" si="17"/>
        <v>0</v>
      </c>
      <c r="J66" s="160"/>
      <c r="K66" s="335"/>
      <c r="L66" s="162">
        <f t="shared" si="18"/>
        <v>0</v>
      </c>
      <c r="M66" s="335"/>
      <c r="N66" s="162">
        <f t="shared" si="19"/>
        <v>0</v>
      </c>
      <c r="O66" s="162">
        <f t="shared" si="20"/>
        <v>0</v>
      </c>
      <c r="P66" s="4"/>
    </row>
    <row r="67" spans="2:16">
      <c r="B67" s="9" t="str">
        <f t="shared" si="4"/>
        <v/>
      </c>
      <c r="C67" s="157">
        <f>IF(D11="","-",+C66+1)</f>
        <v>2057</v>
      </c>
      <c r="D67" s="163">
        <f>IF(F66+SUM(E$17:E66)=D$10,F66,D$10-SUM(E$17:E66))</f>
        <v>0</v>
      </c>
      <c r="E67" s="164">
        <f>IF(+I14&lt;F66,I14,D67)</f>
        <v>0</v>
      </c>
      <c r="F67" s="163">
        <f t="shared" si="16"/>
        <v>0</v>
      </c>
      <c r="G67" s="165">
        <f t="shared" si="14"/>
        <v>0</v>
      </c>
      <c r="H67" s="147">
        <f t="shared" si="15"/>
        <v>0</v>
      </c>
      <c r="I67" s="160">
        <f t="shared" si="17"/>
        <v>0</v>
      </c>
      <c r="J67" s="160"/>
      <c r="K67" s="335"/>
      <c r="L67" s="162">
        <f t="shared" si="18"/>
        <v>0</v>
      </c>
      <c r="M67" s="335"/>
      <c r="N67" s="162">
        <f t="shared" si="19"/>
        <v>0</v>
      </c>
      <c r="O67" s="162">
        <f t="shared" si="20"/>
        <v>0</v>
      </c>
      <c r="P67" s="4"/>
    </row>
    <row r="68" spans="2:16">
      <c r="B68" s="9" t="str">
        <f t="shared" si="4"/>
        <v/>
      </c>
      <c r="C68" s="157">
        <f>IF(D11="","-",+C67+1)</f>
        <v>2058</v>
      </c>
      <c r="D68" s="163">
        <f>IF(F67+SUM(E$17:E67)=D$10,F67,D$10-SUM(E$17:E67))</f>
        <v>0</v>
      </c>
      <c r="E68" s="164">
        <f>IF(+I14&lt;F67,I14,D68)</f>
        <v>0</v>
      </c>
      <c r="F68" s="163">
        <f t="shared" si="16"/>
        <v>0</v>
      </c>
      <c r="G68" s="165">
        <f t="shared" si="14"/>
        <v>0</v>
      </c>
      <c r="H68" s="147">
        <f t="shared" si="15"/>
        <v>0</v>
      </c>
      <c r="I68" s="160">
        <f t="shared" si="17"/>
        <v>0</v>
      </c>
      <c r="J68" s="160"/>
      <c r="K68" s="335"/>
      <c r="L68" s="162">
        <f t="shared" si="18"/>
        <v>0</v>
      </c>
      <c r="M68" s="335"/>
      <c r="N68" s="162">
        <f t="shared" si="19"/>
        <v>0</v>
      </c>
      <c r="O68" s="162">
        <f t="shared" si="20"/>
        <v>0</v>
      </c>
      <c r="P68" s="4"/>
    </row>
    <row r="69" spans="2:16">
      <c r="B69" s="9" t="str">
        <f t="shared" si="4"/>
        <v/>
      </c>
      <c r="C69" s="157">
        <f>IF(D11="","-",+C68+1)</f>
        <v>2059</v>
      </c>
      <c r="D69" s="163">
        <f>IF(F68+SUM(E$17:E68)=D$10,F68,D$10-SUM(E$17:E68))</f>
        <v>0</v>
      </c>
      <c r="E69" s="164">
        <f>IF(+I14&lt;F68,I14,D69)</f>
        <v>0</v>
      </c>
      <c r="F69" s="163">
        <f t="shared" si="16"/>
        <v>0</v>
      </c>
      <c r="G69" s="165">
        <f t="shared" si="14"/>
        <v>0</v>
      </c>
      <c r="H69" s="147">
        <f t="shared" si="15"/>
        <v>0</v>
      </c>
      <c r="I69" s="160">
        <f t="shared" si="17"/>
        <v>0</v>
      </c>
      <c r="J69" s="160"/>
      <c r="K69" s="335"/>
      <c r="L69" s="162">
        <f t="shared" si="18"/>
        <v>0</v>
      </c>
      <c r="M69" s="335"/>
      <c r="N69" s="162">
        <f t="shared" si="19"/>
        <v>0</v>
      </c>
      <c r="O69" s="162">
        <f t="shared" si="20"/>
        <v>0</v>
      </c>
      <c r="P69" s="4"/>
    </row>
    <row r="70" spans="2:16">
      <c r="B70" s="9" t="str">
        <f t="shared" si="4"/>
        <v/>
      </c>
      <c r="C70" s="157">
        <f>IF(D11="","-",+C69+1)</f>
        <v>2060</v>
      </c>
      <c r="D70" s="163">
        <f>IF(F69+SUM(E$17:E69)=D$10,F69,D$10-SUM(E$17:E69))</f>
        <v>0</v>
      </c>
      <c r="E70" s="164">
        <f>IF(+I14&lt;F69,I14,D70)</f>
        <v>0</v>
      </c>
      <c r="F70" s="163">
        <f t="shared" si="16"/>
        <v>0</v>
      </c>
      <c r="G70" s="165">
        <f t="shared" si="14"/>
        <v>0</v>
      </c>
      <c r="H70" s="147">
        <f t="shared" si="15"/>
        <v>0</v>
      </c>
      <c r="I70" s="160">
        <f t="shared" si="17"/>
        <v>0</v>
      </c>
      <c r="J70" s="160"/>
      <c r="K70" s="335"/>
      <c r="L70" s="162">
        <f t="shared" si="18"/>
        <v>0</v>
      </c>
      <c r="M70" s="335"/>
      <c r="N70" s="162">
        <f t="shared" si="19"/>
        <v>0</v>
      </c>
      <c r="O70" s="162">
        <f t="shared" si="20"/>
        <v>0</v>
      </c>
      <c r="P70" s="4"/>
    </row>
    <row r="71" spans="2:16">
      <c r="B71" s="9" t="str">
        <f t="shared" si="4"/>
        <v/>
      </c>
      <c r="C71" s="157">
        <f>IF(D11="","-",+C70+1)</f>
        <v>2061</v>
      </c>
      <c r="D71" s="163">
        <f>IF(F70+SUM(E$17:E70)=D$10,F70,D$10-SUM(E$17:E70))</f>
        <v>0</v>
      </c>
      <c r="E71" s="164">
        <f>IF(+I14&lt;F70,I14,D71)</f>
        <v>0</v>
      </c>
      <c r="F71" s="163">
        <f t="shared" si="16"/>
        <v>0</v>
      </c>
      <c r="G71" s="165">
        <f t="shared" si="14"/>
        <v>0</v>
      </c>
      <c r="H71" s="147">
        <f t="shared" si="15"/>
        <v>0</v>
      </c>
      <c r="I71" s="160">
        <f t="shared" si="17"/>
        <v>0</v>
      </c>
      <c r="J71" s="160"/>
      <c r="K71" s="335"/>
      <c r="L71" s="162">
        <f t="shared" si="18"/>
        <v>0</v>
      </c>
      <c r="M71" s="335"/>
      <c r="N71" s="162">
        <f t="shared" si="19"/>
        <v>0</v>
      </c>
      <c r="O71" s="162">
        <f t="shared" si="20"/>
        <v>0</v>
      </c>
      <c r="P71" s="4"/>
    </row>
    <row r="72" spans="2:16" ht="13.5" thickBot="1">
      <c r="B72" s="9" t="str">
        <f t="shared" si="4"/>
        <v/>
      </c>
      <c r="C72" s="168">
        <f>IF(D11="","-",+C71+1)</f>
        <v>2062</v>
      </c>
      <c r="D72" s="169">
        <f>IF(F71+SUM(E$17:E71)=D$10,F71,D$10-SUM(E$17:E71))</f>
        <v>0</v>
      </c>
      <c r="E72" s="170">
        <f>IF(+I14&lt;F71,I14,D72)</f>
        <v>0</v>
      </c>
      <c r="F72" s="169">
        <f t="shared" si="16"/>
        <v>0</v>
      </c>
      <c r="G72" s="169">
        <f t="shared" si="14"/>
        <v>0</v>
      </c>
      <c r="H72" s="169">
        <f t="shared" si="15"/>
        <v>0</v>
      </c>
      <c r="I72" s="172">
        <f t="shared" si="17"/>
        <v>0</v>
      </c>
      <c r="J72" s="160"/>
      <c r="K72" s="336"/>
      <c r="L72" s="173">
        <f t="shared" si="18"/>
        <v>0</v>
      </c>
      <c r="M72" s="336"/>
      <c r="N72" s="173">
        <f t="shared" si="19"/>
        <v>0</v>
      </c>
      <c r="O72" s="173">
        <f t="shared" si="20"/>
        <v>0</v>
      </c>
      <c r="P72" s="4"/>
    </row>
    <row r="73" spans="2:16">
      <c r="C73" s="158" t="s">
        <v>72</v>
      </c>
      <c r="D73" s="115"/>
      <c r="E73" s="115">
        <f>SUM(E17:E72)</f>
        <v>72551.000000000044</v>
      </c>
      <c r="F73" s="115"/>
      <c r="G73" s="115">
        <f>SUM(G17:G72)</f>
        <v>281635.32700714195</v>
      </c>
      <c r="H73" s="115">
        <f>SUM(H17:H72)</f>
        <v>281635.32700714195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4" t="str">
        <f ca="1">P1</f>
        <v>PSO Project 9 of 28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2018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9219.7957260985368</v>
      </c>
      <c r="N87" s="202">
        <f>IF(J92&lt;D11,0,VLOOKUP(J92,C17:O72,11))</f>
        <v>9219.7957260985368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7593.3191046629281</v>
      </c>
      <c r="N88" s="204">
        <f>IF(J92&lt;D11,0,VLOOKUP(J92,C99:P154,7))</f>
        <v>7593.3191046629281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Tulsa Southeast Upgrade (repl switches)*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-1626.4766214356086</v>
      </c>
      <c r="N89" s="207">
        <f>+N88-N87</f>
        <v>-1626.4766214356086</v>
      </c>
      <c r="O89" s="208">
        <f>+O88-O87</f>
        <v>0</v>
      </c>
      <c r="P89" s="1"/>
    </row>
    <row r="90" spans="1:16" ht="13.5" thickBot="1">
      <c r="C90" s="174"/>
      <c r="D90" s="177" t="str">
        <f>D8</f>
        <v>DOES NOT MEET SPP $100,000 MINIMUM INVESTMENT FOR REGIONAL BPU SHARING.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 t="str">
        <f>+D9</f>
        <v>TP2004033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138">
        <v>72551</v>
      </c>
      <c r="E92" s="22" t="s">
        <v>89</v>
      </c>
      <c r="H92" s="139"/>
      <c r="I92" s="139"/>
      <c r="J92" s="140">
        <f>+'PSO.WS.G.BPU.ATRR.True-up'!M16</f>
        <v>2018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2007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4</v>
      </c>
      <c r="E94" s="141" t="s">
        <v>51</v>
      </c>
      <c r="F94" s="139"/>
      <c r="G94" s="139"/>
      <c r="J94" s="145">
        <f>'PSO.WS.G.BPU.ATRR.True-up'!$F$81</f>
        <v>0.10273556682691798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43</v>
      </c>
      <c r="E95" s="141" t="s">
        <v>54</v>
      </c>
      <c r="F95" s="139"/>
      <c r="G95" s="139"/>
      <c r="J95" s="145">
        <f>IF(H87="",J94,'PSO.WS.G.BPU.ATRR.True-up'!$F$80)</f>
        <v>0.10273556682691798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1687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277</v>
      </c>
      <c r="I97" s="339" t="s">
        <v>278</v>
      </c>
      <c r="J97" s="214" t="s">
        <v>93</v>
      </c>
      <c r="K97" s="216"/>
      <c r="L97" s="339" t="s">
        <v>203</v>
      </c>
      <c r="M97" s="151" t="s">
        <v>94</v>
      </c>
      <c r="N97" s="339" t="s">
        <v>203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2007</v>
      </c>
      <c r="D99" s="366">
        <v>0</v>
      </c>
      <c r="E99" s="368">
        <v>0</v>
      </c>
      <c r="F99" s="371">
        <v>72551</v>
      </c>
      <c r="G99" s="373">
        <v>36276</v>
      </c>
      <c r="H99" s="374">
        <v>5762</v>
      </c>
      <c r="I99" s="375">
        <v>5762</v>
      </c>
      <c r="J99" s="162">
        <f t="shared" ref="J99:J130" si="21">+I99-H99</f>
        <v>0</v>
      </c>
      <c r="K99" s="162"/>
      <c r="L99" s="337">
        <v>0</v>
      </c>
      <c r="M99" s="161">
        <f t="shared" ref="M99:M130" si="22">IF(L99&lt;&gt;0,+H99-L99,0)</f>
        <v>0</v>
      </c>
      <c r="N99" s="337">
        <v>0</v>
      </c>
      <c r="O99" s="161">
        <f t="shared" ref="O99:O130" si="23">IF(N99&lt;&gt;0,+I99-N99,0)</f>
        <v>0</v>
      </c>
      <c r="P99" s="161">
        <f t="shared" ref="P99:P130" si="24">+O99-M99</f>
        <v>0</v>
      </c>
    </row>
    <row r="100" spans="1:16">
      <c r="B100" s="9" t="str">
        <f>IF(D100=F99,"","IU")</f>
        <v/>
      </c>
      <c r="C100" s="157">
        <f>IF(D93="","-",+C99+1)</f>
        <v>2008</v>
      </c>
      <c r="D100" s="366">
        <v>72551</v>
      </c>
      <c r="E100" s="372">
        <v>1369</v>
      </c>
      <c r="F100" s="371">
        <v>71182</v>
      </c>
      <c r="G100" s="371">
        <v>71867</v>
      </c>
      <c r="H100" s="368">
        <v>12785</v>
      </c>
      <c r="I100" s="370">
        <v>12785</v>
      </c>
      <c r="J100" s="162">
        <f t="shared" si="21"/>
        <v>0</v>
      </c>
      <c r="K100" s="162"/>
      <c r="L100" s="338">
        <v>12785</v>
      </c>
      <c r="M100" s="162">
        <f t="shared" si="22"/>
        <v>0</v>
      </c>
      <c r="N100" s="338">
        <v>12785</v>
      </c>
      <c r="O100" s="162">
        <f t="shared" si="23"/>
        <v>0</v>
      </c>
      <c r="P100" s="162">
        <f t="shared" si="24"/>
        <v>0</v>
      </c>
    </row>
    <row r="101" spans="1:16">
      <c r="B101" s="9" t="str">
        <f t="shared" ref="B101:B154" si="25">IF(D101=F100,"","IU")</f>
        <v/>
      </c>
      <c r="C101" s="157">
        <f>IF(D93="","-",+C100+1)</f>
        <v>2009</v>
      </c>
      <c r="D101" s="366">
        <v>71182</v>
      </c>
      <c r="E101" s="368">
        <v>1296</v>
      </c>
      <c r="F101" s="371">
        <v>69886</v>
      </c>
      <c r="G101" s="371">
        <v>70534</v>
      </c>
      <c r="H101" s="368">
        <v>11608.65494705257</v>
      </c>
      <c r="I101" s="370">
        <v>11608.65494705257</v>
      </c>
      <c r="J101" s="162">
        <f t="shared" si="21"/>
        <v>0</v>
      </c>
      <c r="K101" s="162"/>
      <c r="L101" s="380">
        <f t="shared" ref="L101:L106" si="26">H101</f>
        <v>11608.65494705257</v>
      </c>
      <c r="M101" s="381">
        <f t="shared" si="22"/>
        <v>0</v>
      </c>
      <c r="N101" s="380">
        <f t="shared" ref="N101:N106" si="27">I101</f>
        <v>11608.65494705257</v>
      </c>
      <c r="O101" s="162">
        <f t="shared" si="23"/>
        <v>0</v>
      </c>
      <c r="P101" s="162">
        <f t="shared" si="24"/>
        <v>0</v>
      </c>
    </row>
    <row r="102" spans="1:16">
      <c r="B102" s="9" t="str">
        <f t="shared" si="25"/>
        <v/>
      </c>
      <c r="C102" s="157">
        <f>IF(D93="","-",+C101+1)</f>
        <v>2010</v>
      </c>
      <c r="D102" s="366">
        <v>69886</v>
      </c>
      <c r="E102" s="368">
        <v>1423</v>
      </c>
      <c r="F102" s="371">
        <v>68463</v>
      </c>
      <c r="G102" s="371">
        <v>69174.5</v>
      </c>
      <c r="H102" s="368">
        <v>12547.312556925655</v>
      </c>
      <c r="I102" s="370">
        <v>12547.312556925655</v>
      </c>
      <c r="J102" s="162">
        <f t="shared" si="21"/>
        <v>0</v>
      </c>
      <c r="K102" s="162"/>
      <c r="L102" s="380">
        <f t="shared" si="26"/>
        <v>12547.312556925655</v>
      </c>
      <c r="M102" s="381">
        <f t="shared" si="22"/>
        <v>0</v>
      </c>
      <c r="N102" s="380">
        <f t="shared" si="27"/>
        <v>12547.312556925655</v>
      </c>
      <c r="O102" s="162">
        <f t="shared" si="23"/>
        <v>0</v>
      </c>
      <c r="P102" s="162">
        <f t="shared" si="24"/>
        <v>0</v>
      </c>
    </row>
    <row r="103" spans="1:16">
      <c r="B103" s="9" t="str">
        <f t="shared" si="25"/>
        <v/>
      </c>
      <c r="C103" s="157">
        <f>IF(D93="","-",+C102+1)</f>
        <v>2011</v>
      </c>
      <c r="D103" s="366">
        <v>68463</v>
      </c>
      <c r="E103" s="368">
        <v>1395</v>
      </c>
      <c r="F103" s="371">
        <v>67068</v>
      </c>
      <c r="G103" s="371">
        <v>67765.5</v>
      </c>
      <c r="H103" s="368">
        <v>10869.52752826227</v>
      </c>
      <c r="I103" s="370">
        <v>10869.52752826227</v>
      </c>
      <c r="J103" s="162">
        <f t="shared" si="21"/>
        <v>0</v>
      </c>
      <c r="K103" s="162"/>
      <c r="L103" s="380">
        <f t="shared" si="26"/>
        <v>10869.52752826227</v>
      </c>
      <c r="M103" s="381">
        <f t="shared" si="22"/>
        <v>0</v>
      </c>
      <c r="N103" s="380">
        <f t="shared" si="27"/>
        <v>10869.52752826227</v>
      </c>
      <c r="O103" s="162">
        <f t="shared" si="23"/>
        <v>0</v>
      </c>
      <c r="P103" s="162">
        <f t="shared" si="24"/>
        <v>0</v>
      </c>
    </row>
    <row r="104" spans="1:16">
      <c r="B104" s="9" t="str">
        <f t="shared" si="25"/>
        <v/>
      </c>
      <c r="C104" s="157">
        <f>IF(D93="","-",+C103+1)</f>
        <v>2012</v>
      </c>
      <c r="D104" s="366">
        <v>67068</v>
      </c>
      <c r="E104" s="368">
        <v>1395</v>
      </c>
      <c r="F104" s="371">
        <v>65673</v>
      </c>
      <c r="G104" s="371">
        <v>66370.5</v>
      </c>
      <c r="H104" s="368">
        <v>10942.760254640152</v>
      </c>
      <c r="I104" s="370">
        <v>10942.760254640152</v>
      </c>
      <c r="J104" s="162">
        <v>0</v>
      </c>
      <c r="K104" s="162"/>
      <c r="L104" s="380">
        <f t="shared" si="26"/>
        <v>10942.760254640152</v>
      </c>
      <c r="M104" s="381">
        <f t="shared" ref="M104:M109" si="28">IF(L104&lt;&gt;0,+H104-L104,0)</f>
        <v>0</v>
      </c>
      <c r="N104" s="380">
        <f t="shared" si="27"/>
        <v>10942.760254640152</v>
      </c>
      <c r="O104" s="162">
        <f t="shared" ref="O104:O109" si="29">IF(N104&lt;&gt;0,+I104-N104,0)</f>
        <v>0</v>
      </c>
      <c r="P104" s="162">
        <f t="shared" ref="P104:P109" si="30">+O104-M104</f>
        <v>0</v>
      </c>
    </row>
    <row r="105" spans="1:16">
      <c r="B105" s="9" t="str">
        <f t="shared" si="25"/>
        <v/>
      </c>
      <c r="C105" s="157">
        <f>IF(D93="","-",+C104+1)</f>
        <v>2013</v>
      </c>
      <c r="D105" s="366">
        <v>65673</v>
      </c>
      <c r="E105" s="368">
        <v>1395</v>
      </c>
      <c r="F105" s="371">
        <v>64278</v>
      </c>
      <c r="G105" s="371">
        <v>64975.5</v>
      </c>
      <c r="H105" s="368">
        <v>10747.547086020993</v>
      </c>
      <c r="I105" s="370">
        <v>10747.547086020993</v>
      </c>
      <c r="J105" s="162">
        <v>0</v>
      </c>
      <c r="K105" s="162"/>
      <c r="L105" s="380">
        <f t="shared" si="26"/>
        <v>10747.547086020993</v>
      </c>
      <c r="M105" s="381">
        <f t="shared" si="28"/>
        <v>0</v>
      </c>
      <c r="N105" s="380">
        <f t="shared" si="27"/>
        <v>10747.547086020993</v>
      </c>
      <c r="O105" s="162">
        <f t="shared" si="29"/>
        <v>0</v>
      </c>
      <c r="P105" s="162">
        <f t="shared" si="30"/>
        <v>0</v>
      </c>
    </row>
    <row r="106" spans="1:16">
      <c r="B106" s="9" t="str">
        <f t="shared" si="25"/>
        <v/>
      </c>
      <c r="C106" s="157">
        <f>IF(D93="","-",+C105+1)</f>
        <v>2014</v>
      </c>
      <c r="D106" s="366">
        <v>64278</v>
      </c>
      <c r="E106" s="368">
        <v>1395</v>
      </c>
      <c r="F106" s="371">
        <v>62883</v>
      </c>
      <c r="G106" s="371">
        <v>63580.5</v>
      </c>
      <c r="H106" s="368">
        <v>10334.158398344916</v>
      </c>
      <c r="I106" s="370">
        <v>10334.158398344916</v>
      </c>
      <c r="J106" s="162">
        <v>0</v>
      </c>
      <c r="K106" s="162"/>
      <c r="L106" s="380">
        <f t="shared" si="26"/>
        <v>10334.158398344916</v>
      </c>
      <c r="M106" s="381">
        <f t="shared" si="28"/>
        <v>0</v>
      </c>
      <c r="N106" s="380">
        <f t="shared" si="27"/>
        <v>10334.158398344916</v>
      </c>
      <c r="O106" s="162">
        <f t="shared" si="29"/>
        <v>0</v>
      </c>
      <c r="P106" s="162">
        <f t="shared" si="30"/>
        <v>0</v>
      </c>
    </row>
    <row r="107" spans="1:16">
      <c r="B107" s="9" t="str">
        <f t="shared" si="25"/>
        <v/>
      </c>
      <c r="C107" s="157">
        <f>IF(D93="","-",+C106+1)</f>
        <v>2015</v>
      </c>
      <c r="D107" s="366">
        <v>62883</v>
      </c>
      <c r="E107" s="368">
        <v>1395</v>
      </c>
      <c r="F107" s="371">
        <v>61488</v>
      </c>
      <c r="G107" s="371">
        <v>62185.5</v>
      </c>
      <c r="H107" s="368">
        <v>9879.7114789405332</v>
      </c>
      <c r="I107" s="370">
        <v>9879.7114789405332</v>
      </c>
      <c r="J107" s="162">
        <f t="shared" si="21"/>
        <v>0</v>
      </c>
      <c r="K107" s="162"/>
      <c r="L107" s="380">
        <f>H107</f>
        <v>9879.7114789405332</v>
      </c>
      <c r="M107" s="381">
        <f t="shared" si="28"/>
        <v>0</v>
      </c>
      <c r="N107" s="380">
        <f>I107</f>
        <v>9879.7114789405332</v>
      </c>
      <c r="O107" s="162">
        <f t="shared" si="29"/>
        <v>0</v>
      </c>
      <c r="P107" s="162">
        <f t="shared" si="30"/>
        <v>0</v>
      </c>
    </row>
    <row r="108" spans="1:16">
      <c r="B108" s="9" t="str">
        <f t="shared" si="25"/>
        <v/>
      </c>
      <c r="C108" s="157">
        <f>IF(D93="","-",+C107+1)</f>
        <v>2016</v>
      </c>
      <c r="D108" s="366">
        <v>61488</v>
      </c>
      <c r="E108" s="368">
        <v>1577</v>
      </c>
      <c r="F108" s="371">
        <v>59911</v>
      </c>
      <c r="G108" s="371">
        <v>60699.5</v>
      </c>
      <c r="H108" s="368">
        <v>9402.1214987986186</v>
      </c>
      <c r="I108" s="370">
        <v>9402.1214987986186</v>
      </c>
      <c r="J108" s="162">
        <v>0</v>
      </c>
      <c r="K108" s="162"/>
      <c r="L108" s="380">
        <f>H108</f>
        <v>9402.1214987986186</v>
      </c>
      <c r="M108" s="381">
        <f t="shared" si="28"/>
        <v>0</v>
      </c>
      <c r="N108" s="380">
        <f>I108</f>
        <v>9402.1214987986186</v>
      </c>
      <c r="O108" s="162">
        <f t="shared" si="29"/>
        <v>0</v>
      </c>
      <c r="P108" s="162">
        <f t="shared" si="30"/>
        <v>0</v>
      </c>
    </row>
    <row r="109" spans="1:16">
      <c r="B109" s="9" t="str">
        <f t="shared" si="25"/>
        <v/>
      </c>
      <c r="C109" s="157">
        <f>IF(D93="","-",+C108+1)</f>
        <v>2017</v>
      </c>
      <c r="D109" s="366">
        <v>59911</v>
      </c>
      <c r="E109" s="368">
        <v>1577</v>
      </c>
      <c r="F109" s="371">
        <v>58334</v>
      </c>
      <c r="G109" s="371">
        <v>59122.5</v>
      </c>
      <c r="H109" s="368">
        <v>9076.8382024367129</v>
      </c>
      <c r="I109" s="370">
        <v>9076.8382024367129</v>
      </c>
      <c r="J109" s="162">
        <f t="shared" si="21"/>
        <v>0</v>
      </c>
      <c r="K109" s="162"/>
      <c r="L109" s="380">
        <f>H109</f>
        <v>9076.8382024367129</v>
      </c>
      <c r="M109" s="381">
        <f t="shared" si="28"/>
        <v>0</v>
      </c>
      <c r="N109" s="380">
        <f>I109</f>
        <v>9076.8382024367129</v>
      </c>
      <c r="O109" s="162">
        <f t="shared" si="29"/>
        <v>0</v>
      </c>
      <c r="P109" s="162">
        <f t="shared" si="30"/>
        <v>0</v>
      </c>
    </row>
    <row r="110" spans="1:16">
      <c r="B110" s="9" t="str">
        <f t="shared" si="25"/>
        <v/>
      </c>
      <c r="C110" s="157">
        <f>IF(D93="","-",+C109+1)</f>
        <v>2018</v>
      </c>
      <c r="D110" s="158">
        <f>IF(F109+SUM(E$99:E109)=D$92,F109,D$92-SUM(E$99:E109))</f>
        <v>58334</v>
      </c>
      <c r="E110" s="165">
        <f>IF(+J96&lt;F109,J96,D110)</f>
        <v>1687</v>
      </c>
      <c r="F110" s="163">
        <f t="shared" ref="F110:F154" si="31">+D110-E110</f>
        <v>56647</v>
      </c>
      <c r="G110" s="163">
        <f t="shared" ref="G110:G154" si="32">+(F110+D110)/2</f>
        <v>57490.5</v>
      </c>
      <c r="H110" s="167">
        <f t="shared" ref="H110:H154" si="33">+J$94*G110+E110</f>
        <v>7593.3191046629281</v>
      </c>
      <c r="I110" s="317">
        <f t="shared" ref="I110:I154" si="34">+J$95*G110+E110</f>
        <v>7593.3191046629281</v>
      </c>
      <c r="J110" s="162">
        <f t="shared" si="21"/>
        <v>0</v>
      </c>
      <c r="K110" s="162"/>
      <c r="L110" s="335"/>
      <c r="M110" s="162">
        <f t="shared" si="22"/>
        <v>0</v>
      </c>
      <c r="N110" s="335"/>
      <c r="O110" s="162">
        <f t="shared" si="23"/>
        <v>0</v>
      </c>
      <c r="P110" s="162">
        <f t="shared" si="24"/>
        <v>0</v>
      </c>
    </row>
    <row r="111" spans="1:16">
      <c r="B111" s="9" t="str">
        <f t="shared" si="25"/>
        <v/>
      </c>
      <c r="C111" s="157">
        <f>IF(D93="","-",+C110+1)</f>
        <v>2019</v>
      </c>
      <c r="D111" s="158">
        <f>IF(F110+SUM(E$99:E110)=D$92,F110,D$92-SUM(E$99:E110))</f>
        <v>56647</v>
      </c>
      <c r="E111" s="165">
        <f>IF(+J96&lt;F110,J96,D111)</f>
        <v>1687</v>
      </c>
      <c r="F111" s="163">
        <f t="shared" si="31"/>
        <v>54960</v>
      </c>
      <c r="G111" s="163">
        <f t="shared" si="32"/>
        <v>55803.5</v>
      </c>
      <c r="H111" s="167">
        <f t="shared" si="33"/>
        <v>7420.0042034259177</v>
      </c>
      <c r="I111" s="317">
        <f t="shared" si="34"/>
        <v>7420.0042034259177</v>
      </c>
      <c r="J111" s="162">
        <f t="shared" si="21"/>
        <v>0</v>
      </c>
      <c r="K111" s="162"/>
      <c r="L111" s="335"/>
      <c r="M111" s="162">
        <f t="shared" si="22"/>
        <v>0</v>
      </c>
      <c r="N111" s="335"/>
      <c r="O111" s="162">
        <f t="shared" si="23"/>
        <v>0</v>
      </c>
      <c r="P111" s="162">
        <f t="shared" si="24"/>
        <v>0</v>
      </c>
    </row>
    <row r="112" spans="1:16">
      <c r="B112" s="9" t="str">
        <f t="shared" si="25"/>
        <v/>
      </c>
      <c r="C112" s="157">
        <f>IF(D93="","-",+C111+1)</f>
        <v>2020</v>
      </c>
      <c r="D112" s="158">
        <f>IF(F111+SUM(E$99:E111)=D$92,F111,D$92-SUM(E$99:E111))</f>
        <v>54960</v>
      </c>
      <c r="E112" s="165">
        <f>IF(+J96&lt;F111,J96,D112)</f>
        <v>1687</v>
      </c>
      <c r="F112" s="163">
        <f t="shared" si="31"/>
        <v>53273</v>
      </c>
      <c r="G112" s="163">
        <f t="shared" si="32"/>
        <v>54116.5</v>
      </c>
      <c r="H112" s="167">
        <f t="shared" si="33"/>
        <v>7246.6893021889064</v>
      </c>
      <c r="I112" s="317">
        <f t="shared" si="34"/>
        <v>7246.6893021889064</v>
      </c>
      <c r="J112" s="162">
        <f t="shared" si="21"/>
        <v>0</v>
      </c>
      <c r="K112" s="162"/>
      <c r="L112" s="335"/>
      <c r="M112" s="162">
        <f t="shared" si="22"/>
        <v>0</v>
      </c>
      <c r="N112" s="335"/>
      <c r="O112" s="162">
        <f t="shared" si="23"/>
        <v>0</v>
      </c>
      <c r="P112" s="162">
        <f t="shared" si="24"/>
        <v>0</v>
      </c>
    </row>
    <row r="113" spans="2:16">
      <c r="B113" s="9" t="str">
        <f t="shared" si="25"/>
        <v/>
      </c>
      <c r="C113" s="157">
        <f>IF(D93="","-",+C112+1)</f>
        <v>2021</v>
      </c>
      <c r="D113" s="158">
        <f>IF(F112+SUM(E$99:E112)=D$92,F112,D$92-SUM(E$99:E112))</f>
        <v>53273</v>
      </c>
      <c r="E113" s="165">
        <f>IF(+J96&lt;F112,J96,D113)</f>
        <v>1687</v>
      </c>
      <c r="F113" s="163">
        <f t="shared" si="31"/>
        <v>51586</v>
      </c>
      <c r="G113" s="163">
        <f t="shared" si="32"/>
        <v>52429.5</v>
      </c>
      <c r="H113" s="167">
        <f t="shared" si="33"/>
        <v>7073.374400951896</v>
      </c>
      <c r="I113" s="317">
        <f t="shared" si="34"/>
        <v>7073.374400951896</v>
      </c>
      <c r="J113" s="162">
        <f t="shared" si="21"/>
        <v>0</v>
      </c>
      <c r="K113" s="162"/>
      <c r="L113" s="335"/>
      <c r="M113" s="162">
        <f t="shared" si="22"/>
        <v>0</v>
      </c>
      <c r="N113" s="335"/>
      <c r="O113" s="162">
        <f t="shared" si="23"/>
        <v>0</v>
      </c>
      <c r="P113" s="162">
        <f t="shared" si="24"/>
        <v>0</v>
      </c>
    </row>
    <row r="114" spans="2:16">
      <c r="B114" s="9" t="str">
        <f t="shared" si="25"/>
        <v/>
      </c>
      <c r="C114" s="157">
        <f>IF(D93="","-",+C113+1)</f>
        <v>2022</v>
      </c>
      <c r="D114" s="158">
        <f>IF(F113+SUM(E$99:E113)=D$92,F113,D$92-SUM(E$99:E113))</f>
        <v>51586</v>
      </c>
      <c r="E114" s="165">
        <f>IF(+J96&lt;F113,J96,D114)</f>
        <v>1687</v>
      </c>
      <c r="F114" s="163">
        <f t="shared" si="31"/>
        <v>49899</v>
      </c>
      <c r="G114" s="163">
        <f t="shared" si="32"/>
        <v>50742.5</v>
      </c>
      <c r="H114" s="167">
        <f t="shared" si="33"/>
        <v>6900.0594997148855</v>
      </c>
      <c r="I114" s="317">
        <f t="shared" si="34"/>
        <v>6900.0594997148855</v>
      </c>
      <c r="J114" s="162">
        <f t="shared" si="21"/>
        <v>0</v>
      </c>
      <c r="K114" s="162"/>
      <c r="L114" s="335"/>
      <c r="M114" s="162">
        <f t="shared" si="22"/>
        <v>0</v>
      </c>
      <c r="N114" s="335"/>
      <c r="O114" s="162">
        <f t="shared" si="23"/>
        <v>0</v>
      </c>
      <c r="P114" s="162">
        <f t="shared" si="24"/>
        <v>0</v>
      </c>
    </row>
    <row r="115" spans="2:16">
      <c r="B115" s="9" t="str">
        <f t="shared" si="25"/>
        <v/>
      </c>
      <c r="C115" s="157">
        <f>IF(D93="","-",+C114+1)</f>
        <v>2023</v>
      </c>
      <c r="D115" s="158">
        <f>IF(F114+SUM(E$99:E114)=D$92,F114,D$92-SUM(E$99:E114))</f>
        <v>49899</v>
      </c>
      <c r="E115" s="165">
        <f>IF(+J96&lt;F114,J96,D115)</f>
        <v>1687</v>
      </c>
      <c r="F115" s="163">
        <f t="shared" si="31"/>
        <v>48212</v>
      </c>
      <c r="G115" s="163">
        <f t="shared" si="32"/>
        <v>49055.5</v>
      </c>
      <c r="H115" s="167">
        <f t="shared" si="33"/>
        <v>6726.7445984778751</v>
      </c>
      <c r="I115" s="317">
        <f t="shared" si="34"/>
        <v>6726.7445984778751</v>
      </c>
      <c r="J115" s="162">
        <f t="shared" si="21"/>
        <v>0</v>
      </c>
      <c r="K115" s="162"/>
      <c r="L115" s="335"/>
      <c r="M115" s="162">
        <f t="shared" si="22"/>
        <v>0</v>
      </c>
      <c r="N115" s="335"/>
      <c r="O115" s="162">
        <f t="shared" si="23"/>
        <v>0</v>
      </c>
      <c r="P115" s="162">
        <f t="shared" si="24"/>
        <v>0</v>
      </c>
    </row>
    <row r="116" spans="2:16">
      <c r="B116" s="9" t="str">
        <f t="shared" si="25"/>
        <v/>
      </c>
      <c r="C116" s="157">
        <f>IF(D93="","-",+C115+1)</f>
        <v>2024</v>
      </c>
      <c r="D116" s="158">
        <f>IF(F115+SUM(E$99:E115)=D$92,F115,D$92-SUM(E$99:E115))</f>
        <v>48212</v>
      </c>
      <c r="E116" s="165">
        <f>IF(+J96&lt;F115,J96,D116)</f>
        <v>1687</v>
      </c>
      <c r="F116" s="163">
        <f t="shared" si="31"/>
        <v>46525</v>
      </c>
      <c r="G116" s="163">
        <f t="shared" si="32"/>
        <v>47368.5</v>
      </c>
      <c r="H116" s="167">
        <f t="shared" si="33"/>
        <v>6553.4296972408647</v>
      </c>
      <c r="I116" s="317">
        <f t="shared" si="34"/>
        <v>6553.4296972408647</v>
      </c>
      <c r="J116" s="162">
        <f t="shared" si="21"/>
        <v>0</v>
      </c>
      <c r="K116" s="162"/>
      <c r="L116" s="335"/>
      <c r="M116" s="162">
        <f t="shared" si="22"/>
        <v>0</v>
      </c>
      <c r="N116" s="335"/>
      <c r="O116" s="162">
        <f t="shared" si="23"/>
        <v>0</v>
      </c>
      <c r="P116" s="162">
        <f t="shared" si="24"/>
        <v>0</v>
      </c>
    </row>
    <row r="117" spans="2:16">
      <c r="B117" s="9" t="str">
        <f t="shared" si="25"/>
        <v/>
      </c>
      <c r="C117" s="157">
        <f>IF(D93="","-",+C116+1)</f>
        <v>2025</v>
      </c>
      <c r="D117" s="158">
        <f>IF(F116+SUM(E$99:E116)=D$92,F116,D$92-SUM(E$99:E116))</f>
        <v>46525</v>
      </c>
      <c r="E117" s="165">
        <f>IF(+J96&lt;F116,J96,D117)</f>
        <v>1687</v>
      </c>
      <c r="F117" s="163">
        <f t="shared" si="31"/>
        <v>44838</v>
      </c>
      <c r="G117" s="163">
        <f t="shared" si="32"/>
        <v>45681.5</v>
      </c>
      <c r="H117" s="167">
        <f t="shared" si="33"/>
        <v>6380.1147960038534</v>
      </c>
      <c r="I117" s="317">
        <f t="shared" si="34"/>
        <v>6380.1147960038534</v>
      </c>
      <c r="J117" s="162">
        <f t="shared" si="21"/>
        <v>0</v>
      </c>
      <c r="K117" s="162"/>
      <c r="L117" s="335"/>
      <c r="M117" s="162">
        <f t="shared" si="22"/>
        <v>0</v>
      </c>
      <c r="N117" s="335"/>
      <c r="O117" s="162">
        <f t="shared" si="23"/>
        <v>0</v>
      </c>
      <c r="P117" s="162">
        <f t="shared" si="24"/>
        <v>0</v>
      </c>
    </row>
    <row r="118" spans="2:16">
      <c r="B118" s="9" t="str">
        <f t="shared" si="25"/>
        <v/>
      </c>
      <c r="C118" s="157">
        <f>IF(D93="","-",+C117+1)</f>
        <v>2026</v>
      </c>
      <c r="D118" s="158">
        <f>IF(F117+SUM(E$99:E117)=D$92,F117,D$92-SUM(E$99:E117))</f>
        <v>44838</v>
      </c>
      <c r="E118" s="165">
        <f>IF(+J96&lt;F117,J96,D118)</f>
        <v>1687</v>
      </c>
      <c r="F118" s="163">
        <f t="shared" si="31"/>
        <v>43151</v>
      </c>
      <c r="G118" s="163">
        <f t="shared" si="32"/>
        <v>43994.5</v>
      </c>
      <c r="H118" s="167">
        <f t="shared" si="33"/>
        <v>6206.799894766843</v>
      </c>
      <c r="I118" s="317">
        <f t="shared" si="34"/>
        <v>6206.799894766843</v>
      </c>
      <c r="J118" s="162">
        <f t="shared" si="21"/>
        <v>0</v>
      </c>
      <c r="K118" s="162"/>
      <c r="L118" s="335"/>
      <c r="M118" s="162">
        <f t="shared" si="22"/>
        <v>0</v>
      </c>
      <c r="N118" s="335"/>
      <c r="O118" s="162">
        <f t="shared" si="23"/>
        <v>0</v>
      </c>
      <c r="P118" s="162">
        <f t="shared" si="24"/>
        <v>0</v>
      </c>
    </row>
    <row r="119" spans="2:16">
      <c r="B119" s="9" t="str">
        <f t="shared" si="25"/>
        <v/>
      </c>
      <c r="C119" s="157">
        <f>IF(D93="","-",+C118+1)</f>
        <v>2027</v>
      </c>
      <c r="D119" s="158">
        <f>IF(F118+SUM(E$99:E118)=D$92,F118,D$92-SUM(E$99:E118))</f>
        <v>43151</v>
      </c>
      <c r="E119" s="165">
        <f>IF(+J96&lt;F118,J96,D119)</f>
        <v>1687</v>
      </c>
      <c r="F119" s="163">
        <f t="shared" si="31"/>
        <v>41464</v>
      </c>
      <c r="G119" s="163">
        <f t="shared" si="32"/>
        <v>42307.5</v>
      </c>
      <c r="H119" s="167">
        <f t="shared" si="33"/>
        <v>6033.4849935298325</v>
      </c>
      <c r="I119" s="317">
        <f t="shared" si="34"/>
        <v>6033.4849935298325</v>
      </c>
      <c r="J119" s="162">
        <f t="shared" si="21"/>
        <v>0</v>
      </c>
      <c r="K119" s="162"/>
      <c r="L119" s="335"/>
      <c r="M119" s="162">
        <f t="shared" si="22"/>
        <v>0</v>
      </c>
      <c r="N119" s="335"/>
      <c r="O119" s="162">
        <f t="shared" si="23"/>
        <v>0</v>
      </c>
      <c r="P119" s="162">
        <f t="shared" si="24"/>
        <v>0</v>
      </c>
    </row>
    <row r="120" spans="2:16">
      <c r="B120" s="9" t="str">
        <f t="shared" si="25"/>
        <v/>
      </c>
      <c r="C120" s="157">
        <f>IF(D93="","-",+C119+1)</f>
        <v>2028</v>
      </c>
      <c r="D120" s="158">
        <f>IF(F119+SUM(E$99:E119)=D$92,F119,D$92-SUM(E$99:E119))</f>
        <v>41464</v>
      </c>
      <c r="E120" s="165">
        <f>IF(+J96&lt;F119,J96,D120)</f>
        <v>1687</v>
      </c>
      <c r="F120" s="163">
        <f t="shared" si="31"/>
        <v>39777</v>
      </c>
      <c r="G120" s="163">
        <f t="shared" si="32"/>
        <v>40620.5</v>
      </c>
      <c r="H120" s="167">
        <f t="shared" si="33"/>
        <v>5860.1700922928221</v>
      </c>
      <c r="I120" s="317">
        <f t="shared" si="34"/>
        <v>5860.1700922928221</v>
      </c>
      <c r="J120" s="162">
        <f t="shared" si="21"/>
        <v>0</v>
      </c>
      <c r="K120" s="162"/>
      <c r="L120" s="335"/>
      <c r="M120" s="162">
        <f t="shared" si="22"/>
        <v>0</v>
      </c>
      <c r="N120" s="335"/>
      <c r="O120" s="162">
        <f t="shared" si="23"/>
        <v>0</v>
      </c>
      <c r="P120" s="162">
        <f t="shared" si="24"/>
        <v>0</v>
      </c>
    </row>
    <row r="121" spans="2:16">
      <c r="B121" s="9" t="str">
        <f t="shared" si="25"/>
        <v/>
      </c>
      <c r="C121" s="157">
        <f>IF(D93="","-",+C120+1)</f>
        <v>2029</v>
      </c>
      <c r="D121" s="158">
        <f>IF(F120+SUM(E$99:E120)=D$92,F120,D$92-SUM(E$99:E120))</f>
        <v>39777</v>
      </c>
      <c r="E121" s="165">
        <f>IF(+J96&lt;F120,J96,D121)</f>
        <v>1687</v>
      </c>
      <c r="F121" s="163">
        <f t="shared" si="31"/>
        <v>38090</v>
      </c>
      <c r="G121" s="163">
        <f t="shared" si="32"/>
        <v>38933.5</v>
      </c>
      <c r="H121" s="167">
        <f t="shared" si="33"/>
        <v>5686.8551910558108</v>
      </c>
      <c r="I121" s="317">
        <f t="shared" si="34"/>
        <v>5686.8551910558108</v>
      </c>
      <c r="J121" s="162">
        <f t="shared" si="21"/>
        <v>0</v>
      </c>
      <c r="K121" s="162"/>
      <c r="L121" s="335"/>
      <c r="M121" s="162">
        <f t="shared" si="22"/>
        <v>0</v>
      </c>
      <c r="N121" s="335"/>
      <c r="O121" s="162">
        <f t="shared" si="23"/>
        <v>0</v>
      </c>
      <c r="P121" s="162">
        <f t="shared" si="24"/>
        <v>0</v>
      </c>
    </row>
    <row r="122" spans="2:16">
      <c r="B122" s="9" t="str">
        <f t="shared" si="25"/>
        <v/>
      </c>
      <c r="C122" s="157">
        <f>IF(D93="","-",+C121+1)</f>
        <v>2030</v>
      </c>
      <c r="D122" s="158">
        <f>IF(F121+SUM(E$99:E121)=D$92,F121,D$92-SUM(E$99:E121))</f>
        <v>38090</v>
      </c>
      <c r="E122" s="165">
        <f>IF(+J96&lt;F121,J96,D122)</f>
        <v>1687</v>
      </c>
      <c r="F122" s="163">
        <f t="shared" si="31"/>
        <v>36403</v>
      </c>
      <c r="G122" s="163">
        <f t="shared" si="32"/>
        <v>37246.5</v>
      </c>
      <c r="H122" s="167">
        <f t="shared" si="33"/>
        <v>5513.5402898188004</v>
      </c>
      <c r="I122" s="317">
        <f t="shared" si="34"/>
        <v>5513.5402898188004</v>
      </c>
      <c r="J122" s="162">
        <f t="shared" si="21"/>
        <v>0</v>
      </c>
      <c r="K122" s="162"/>
      <c r="L122" s="335"/>
      <c r="M122" s="162">
        <f t="shared" si="22"/>
        <v>0</v>
      </c>
      <c r="N122" s="335"/>
      <c r="O122" s="162">
        <f t="shared" si="23"/>
        <v>0</v>
      </c>
      <c r="P122" s="162">
        <f t="shared" si="24"/>
        <v>0</v>
      </c>
    </row>
    <row r="123" spans="2:16">
      <c r="B123" s="9" t="str">
        <f t="shared" si="25"/>
        <v/>
      </c>
      <c r="C123" s="157">
        <f>IF(D93="","-",+C122+1)</f>
        <v>2031</v>
      </c>
      <c r="D123" s="158">
        <f>IF(F122+SUM(E$99:E122)=D$92,F122,D$92-SUM(E$99:E122))</f>
        <v>36403</v>
      </c>
      <c r="E123" s="165">
        <f>IF(+J96&lt;F122,J96,D123)</f>
        <v>1687</v>
      </c>
      <c r="F123" s="163">
        <f t="shared" si="31"/>
        <v>34716</v>
      </c>
      <c r="G123" s="163">
        <f t="shared" si="32"/>
        <v>35559.5</v>
      </c>
      <c r="H123" s="167">
        <f t="shared" si="33"/>
        <v>5340.22538858179</v>
      </c>
      <c r="I123" s="317">
        <f t="shared" si="34"/>
        <v>5340.22538858179</v>
      </c>
      <c r="J123" s="162">
        <f t="shared" si="21"/>
        <v>0</v>
      </c>
      <c r="K123" s="162"/>
      <c r="L123" s="335"/>
      <c r="M123" s="162">
        <f t="shared" si="22"/>
        <v>0</v>
      </c>
      <c r="N123" s="335"/>
      <c r="O123" s="162">
        <f t="shared" si="23"/>
        <v>0</v>
      </c>
      <c r="P123" s="162">
        <f t="shared" si="24"/>
        <v>0</v>
      </c>
    </row>
    <row r="124" spans="2:16">
      <c r="B124" s="9" t="str">
        <f t="shared" si="25"/>
        <v/>
      </c>
      <c r="C124" s="157">
        <f>IF(D93="","-",+C123+1)</f>
        <v>2032</v>
      </c>
      <c r="D124" s="158">
        <f>IF(F123+SUM(E$99:E123)=D$92,F123,D$92-SUM(E$99:E123))</f>
        <v>34716</v>
      </c>
      <c r="E124" s="165">
        <f>IF(+J96&lt;F123,J96,D124)</f>
        <v>1687</v>
      </c>
      <c r="F124" s="163">
        <f t="shared" si="31"/>
        <v>33029</v>
      </c>
      <c r="G124" s="163">
        <f t="shared" si="32"/>
        <v>33872.5</v>
      </c>
      <c r="H124" s="167">
        <f t="shared" si="33"/>
        <v>5166.9104873447795</v>
      </c>
      <c r="I124" s="317">
        <f t="shared" si="34"/>
        <v>5166.9104873447795</v>
      </c>
      <c r="J124" s="162">
        <f t="shared" si="21"/>
        <v>0</v>
      </c>
      <c r="K124" s="162"/>
      <c r="L124" s="335"/>
      <c r="M124" s="162">
        <f t="shared" si="22"/>
        <v>0</v>
      </c>
      <c r="N124" s="335"/>
      <c r="O124" s="162">
        <f t="shared" si="23"/>
        <v>0</v>
      </c>
      <c r="P124" s="162">
        <f t="shared" si="24"/>
        <v>0</v>
      </c>
    </row>
    <row r="125" spans="2:16">
      <c r="B125" s="9" t="str">
        <f t="shared" si="25"/>
        <v/>
      </c>
      <c r="C125" s="157">
        <f>IF(D93="","-",+C124+1)</f>
        <v>2033</v>
      </c>
      <c r="D125" s="158">
        <f>IF(F124+SUM(E$99:E124)=D$92,F124,D$92-SUM(E$99:E124))</f>
        <v>33029</v>
      </c>
      <c r="E125" s="165">
        <f>IF(+J96&lt;F124,J96,D125)</f>
        <v>1687</v>
      </c>
      <c r="F125" s="163">
        <f t="shared" si="31"/>
        <v>31342</v>
      </c>
      <c r="G125" s="163">
        <f t="shared" si="32"/>
        <v>32185.5</v>
      </c>
      <c r="H125" s="167">
        <f t="shared" si="33"/>
        <v>4993.5955861077691</v>
      </c>
      <c r="I125" s="317">
        <f t="shared" si="34"/>
        <v>4993.5955861077691</v>
      </c>
      <c r="J125" s="162">
        <f t="shared" si="21"/>
        <v>0</v>
      </c>
      <c r="K125" s="162"/>
      <c r="L125" s="335"/>
      <c r="M125" s="162">
        <f t="shared" si="22"/>
        <v>0</v>
      </c>
      <c r="N125" s="335"/>
      <c r="O125" s="162">
        <f t="shared" si="23"/>
        <v>0</v>
      </c>
      <c r="P125" s="162">
        <f t="shared" si="24"/>
        <v>0</v>
      </c>
    </row>
    <row r="126" spans="2:16">
      <c r="B126" s="9" t="str">
        <f t="shared" si="25"/>
        <v/>
      </c>
      <c r="C126" s="157">
        <f>IF(D93="","-",+C125+1)</f>
        <v>2034</v>
      </c>
      <c r="D126" s="158">
        <f>IF(F125+SUM(E$99:E125)=D$92,F125,D$92-SUM(E$99:E125))</f>
        <v>31342</v>
      </c>
      <c r="E126" s="165">
        <f>IF(+J96&lt;F125,J96,D126)</f>
        <v>1687</v>
      </c>
      <c r="F126" s="163">
        <f t="shared" si="31"/>
        <v>29655</v>
      </c>
      <c r="G126" s="163">
        <f t="shared" si="32"/>
        <v>30498.5</v>
      </c>
      <c r="H126" s="167">
        <f t="shared" si="33"/>
        <v>4820.2806848707578</v>
      </c>
      <c r="I126" s="317">
        <f t="shared" si="34"/>
        <v>4820.2806848707578</v>
      </c>
      <c r="J126" s="162">
        <f t="shared" si="21"/>
        <v>0</v>
      </c>
      <c r="K126" s="162"/>
      <c r="L126" s="335"/>
      <c r="M126" s="162">
        <f t="shared" si="22"/>
        <v>0</v>
      </c>
      <c r="N126" s="335"/>
      <c r="O126" s="162">
        <f t="shared" si="23"/>
        <v>0</v>
      </c>
      <c r="P126" s="162">
        <f t="shared" si="24"/>
        <v>0</v>
      </c>
    </row>
    <row r="127" spans="2:16">
      <c r="B127" s="9" t="str">
        <f t="shared" si="25"/>
        <v/>
      </c>
      <c r="C127" s="157">
        <f>IF(D93="","-",+C126+1)</f>
        <v>2035</v>
      </c>
      <c r="D127" s="158">
        <f>IF(F126+SUM(E$99:E126)=D$92,F126,D$92-SUM(E$99:E126))</f>
        <v>29655</v>
      </c>
      <c r="E127" s="165">
        <f>IF(+J96&lt;F126,J96,D127)</f>
        <v>1687</v>
      </c>
      <c r="F127" s="163">
        <f t="shared" si="31"/>
        <v>27968</v>
      </c>
      <c r="G127" s="163">
        <f t="shared" si="32"/>
        <v>28811.5</v>
      </c>
      <c r="H127" s="167">
        <f t="shared" si="33"/>
        <v>4646.9657836337474</v>
      </c>
      <c r="I127" s="317">
        <f t="shared" si="34"/>
        <v>4646.9657836337474</v>
      </c>
      <c r="J127" s="162">
        <f t="shared" si="21"/>
        <v>0</v>
      </c>
      <c r="K127" s="162"/>
      <c r="L127" s="335"/>
      <c r="M127" s="162">
        <f t="shared" si="22"/>
        <v>0</v>
      </c>
      <c r="N127" s="335"/>
      <c r="O127" s="162">
        <f t="shared" si="23"/>
        <v>0</v>
      </c>
      <c r="P127" s="162">
        <f t="shared" si="24"/>
        <v>0</v>
      </c>
    </row>
    <row r="128" spans="2:16">
      <c r="B128" s="9" t="str">
        <f t="shared" si="25"/>
        <v/>
      </c>
      <c r="C128" s="157">
        <f>IF(D93="","-",+C127+1)</f>
        <v>2036</v>
      </c>
      <c r="D128" s="158">
        <f>IF(F127+SUM(E$99:E127)=D$92,F127,D$92-SUM(E$99:E127))</f>
        <v>27968</v>
      </c>
      <c r="E128" s="165">
        <f>IF(+J96&lt;F127,J96,D128)</f>
        <v>1687</v>
      </c>
      <c r="F128" s="163">
        <f t="shared" si="31"/>
        <v>26281</v>
      </c>
      <c r="G128" s="163">
        <f t="shared" si="32"/>
        <v>27124.5</v>
      </c>
      <c r="H128" s="167">
        <f t="shared" si="33"/>
        <v>4473.6508823967361</v>
      </c>
      <c r="I128" s="317">
        <f t="shared" si="34"/>
        <v>4473.6508823967361</v>
      </c>
      <c r="J128" s="162">
        <f t="shared" si="21"/>
        <v>0</v>
      </c>
      <c r="K128" s="162"/>
      <c r="L128" s="335"/>
      <c r="M128" s="162">
        <f t="shared" si="22"/>
        <v>0</v>
      </c>
      <c r="N128" s="335"/>
      <c r="O128" s="162">
        <f t="shared" si="23"/>
        <v>0</v>
      </c>
      <c r="P128" s="162">
        <f t="shared" si="24"/>
        <v>0</v>
      </c>
    </row>
    <row r="129" spans="2:16">
      <c r="B129" s="9" t="str">
        <f t="shared" si="25"/>
        <v/>
      </c>
      <c r="C129" s="157">
        <f>IF(D93="","-",+C128+1)</f>
        <v>2037</v>
      </c>
      <c r="D129" s="158">
        <f>IF(F128+SUM(E$99:E128)=D$92,F128,D$92-SUM(E$99:E128))</f>
        <v>26281</v>
      </c>
      <c r="E129" s="165">
        <f>IF(+J96&lt;F128,J96,D129)</f>
        <v>1687</v>
      </c>
      <c r="F129" s="163">
        <f t="shared" si="31"/>
        <v>24594</v>
      </c>
      <c r="G129" s="163">
        <f t="shared" si="32"/>
        <v>25437.5</v>
      </c>
      <c r="H129" s="167">
        <f t="shared" si="33"/>
        <v>4300.3359811597256</v>
      </c>
      <c r="I129" s="317">
        <f t="shared" si="34"/>
        <v>4300.3359811597256</v>
      </c>
      <c r="J129" s="162">
        <f t="shared" si="21"/>
        <v>0</v>
      </c>
      <c r="K129" s="162"/>
      <c r="L129" s="335"/>
      <c r="M129" s="162">
        <f t="shared" si="22"/>
        <v>0</v>
      </c>
      <c r="N129" s="335"/>
      <c r="O129" s="162">
        <f t="shared" si="23"/>
        <v>0</v>
      </c>
      <c r="P129" s="162">
        <f t="shared" si="24"/>
        <v>0</v>
      </c>
    </row>
    <row r="130" spans="2:16">
      <c r="B130" s="9" t="str">
        <f t="shared" si="25"/>
        <v/>
      </c>
      <c r="C130" s="157">
        <f>IF(D93="","-",+C129+1)</f>
        <v>2038</v>
      </c>
      <c r="D130" s="158">
        <f>IF(F129+SUM(E$99:E129)=D$92,F129,D$92-SUM(E$99:E129))</f>
        <v>24594</v>
      </c>
      <c r="E130" s="165">
        <f>IF(+J96&lt;F129,J96,D130)</f>
        <v>1687</v>
      </c>
      <c r="F130" s="163">
        <f t="shared" si="31"/>
        <v>22907</v>
      </c>
      <c r="G130" s="163">
        <f t="shared" si="32"/>
        <v>23750.5</v>
      </c>
      <c r="H130" s="167">
        <f t="shared" si="33"/>
        <v>4127.0210799227152</v>
      </c>
      <c r="I130" s="317">
        <f t="shared" si="34"/>
        <v>4127.0210799227152</v>
      </c>
      <c r="J130" s="162">
        <f t="shared" si="21"/>
        <v>0</v>
      </c>
      <c r="K130" s="162"/>
      <c r="L130" s="335"/>
      <c r="M130" s="162">
        <f t="shared" si="22"/>
        <v>0</v>
      </c>
      <c r="N130" s="335"/>
      <c r="O130" s="162">
        <f t="shared" si="23"/>
        <v>0</v>
      </c>
      <c r="P130" s="162">
        <f t="shared" si="24"/>
        <v>0</v>
      </c>
    </row>
    <row r="131" spans="2:16">
      <c r="B131" s="9" t="str">
        <f t="shared" si="25"/>
        <v/>
      </c>
      <c r="C131" s="157">
        <f>IF(D93="","-",+C130+1)</f>
        <v>2039</v>
      </c>
      <c r="D131" s="158">
        <f>IF(F130+SUM(E$99:E130)=D$92,F130,D$92-SUM(E$99:E130))</f>
        <v>22907</v>
      </c>
      <c r="E131" s="165">
        <f>IF(+J96&lt;F130,J96,D131)</f>
        <v>1687</v>
      </c>
      <c r="F131" s="163">
        <f t="shared" si="31"/>
        <v>21220</v>
      </c>
      <c r="G131" s="163">
        <f t="shared" si="32"/>
        <v>22063.5</v>
      </c>
      <c r="H131" s="167">
        <f t="shared" si="33"/>
        <v>3953.7061786857048</v>
      </c>
      <c r="I131" s="317">
        <f t="shared" si="34"/>
        <v>3953.7061786857048</v>
      </c>
      <c r="J131" s="162">
        <f t="shared" ref="J131:J154" si="35">+I541-H541</f>
        <v>0</v>
      </c>
      <c r="K131" s="162"/>
      <c r="L131" s="335"/>
      <c r="M131" s="162">
        <f t="shared" ref="M131:M154" si="36">IF(L541&lt;&gt;0,+H541-L541,0)</f>
        <v>0</v>
      </c>
      <c r="N131" s="335"/>
      <c r="O131" s="162">
        <f t="shared" ref="O131:O154" si="37">IF(N541&lt;&gt;0,+I541-N541,0)</f>
        <v>0</v>
      </c>
      <c r="P131" s="162">
        <f t="shared" ref="P131:P154" si="38">+O541-M541</f>
        <v>0</v>
      </c>
    </row>
    <row r="132" spans="2:16">
      <c r="B132" s="9" t="str">
        <f t="shared" si="25"/>
        <v/>
      </c>
      <c r="C132" s="157">
        <f>IF(D93="","-",+C131+1)</f>
        <v>2040</v>
      </c>
      <c r="D132" s="158">
        <f>IF(F131+SUM(E$99:E131)=D$92,F131,D$92-SUM(E$99:E131))</f>
        <v>21220</v>
      </c>
      <c r="E132" s="165">
        <f>IF(+J96&lt;F131,J96,D132)</f>
        <v>1687</v>
      </c>
      <c r="F132" s="163">
        <f t="shared" si="31"/>
        <v>19533</v>
      </c>
      <c r="G132" s="163">
        <f t="shared" si="32"/>
        <v>20376.5</v>
      </c>
      <c r="H132" s="167">
        <f t="shared" si="33"/>
        <v>3780.3912774486944</v>
      </c>
      <c r="I132" s="317">
        <f t="shared" si="34"/>
        <v>3780.3912774486944</v>
      </c>
      <c r="J132" s="162">
        <f t="shared" si="35"/>
        <v>0</v>
      </c>
      <c r="K132" s="162"/>
      <c r="L132" s="335"/>
      <c r="M132" s="162">
        <f t="shared" si="36"/>
        <v>0</v>
      </c>
      <c r="N132" s="335"/>
      <c r="O132" s="162">
        <f t="shared" si="37"/>
        <v>0</v>
      </c>
      <c r="P132" s="162">
        <f t="shared" si="38"/>
        <v>0</v>
      </c>
    </row>
    <row r="133" spans="2:16">
      <c r="B133" s="9" t="str">
        <f t="shared" si="25"/>
        <v/>
      </c>
      <c r="C133" s="157">
        <f>IF(D93="","-",+C132+1)</f>
        <v>2041</v>
      </c>
      <c r="D133" s="158">
        <f>IF(F132+SUM(E$99:E132)=D$92,F132,D$92-SUM(E$99:E132))</f>
        <v>19533</v>
      </c>
      <c r="E133" s="165">
        <f>IF(+J96&lt;F132,J96,D133)</f>
        <v>1687</v>
      </c>
      <c r="F133" s="163">
        <f t="shared" si="31"/>
        <v>17846</v>
      </c>
      <c r="G133" s="163">
        <f t="shared" si="32"/>
        <v>18689.5</v>
      </c>
      <c r="H133" s="167">
        <f t="shared" si="33"/>
        <v>3607.0763762116835</v>
      </c>
      <c r="I133" s="317">
        <f t="shared" si="34"/>
        <v>3607.0763762116835</v>
      </c>
      <c r="J133" s="162">
        <f t="shared" si="35"/>
        <v>0</v>
      </c>
      <c r="K133" s="162"/>
      <c r="L133" s="335"/>
      <c r="M133" s="162">
        <f t="shared" si="36"/>
        <v>0</v>
      </c>
      <c r="N133" s="335"/>
      <c r="O133" s="162">
        <f t="shared" si="37"/>
        <v>0</v>
      </c>
      <c r="P133" s="162">
        <f t="shared" si="38"/>
        <v>0</v>
      </c>
    </row>
    <row r="134" spans="2:16">
      <c r="B134" s="9" t="str">
        <f t="shared" si="25"/>
        <v/>
      </c>
      <c r="C134" s="157">
        <f>IF(D93="","-",+C133+1)</f>
        <v>2042</v>
      </c>
      <c r="D134" s="158">
        <f>IF(F133+SUM(E$99:E133)=D$92,F133,D$92-SUM(E$99:E133))</f>
        <v>17846</v>
      </c>
      <c r="E134" s="165">
        <f>IF(+J96&lt;F133,J96,D134)</f>
        <v>1687</v>
      </c>
      <c r="F134" s="163">
        <f t="shared" si="31"/>
        <v>16159</v>
      </c>
      <c r="G134" s="163">
        <f t="shared" si="32"/>
        <v>17002.5</v>
      </c>
      <c r="H134" s="167">
        <f t="shared" si="33"/>
        <v>3433.7614749746726</v>
      </c>
      <c r="I134" s="317">
        <f t="shared" si="34"/>
        <v>3433.7614749746726</v>
      </c>
      <c r="J134" s="162">
        <f t="shared" si="35"/>
        <v>0</v>
      </c>
      <c r="K134" s="162"/>
      <c r="L134" s="335"/>
      <c r="M134" s="162">
        <f t="shared" si="36"/>
        <v>0</v>
      </c>
      <c r="N134" s="335"/>
      <c r="O134" s="162">
        <f t="shared" si="37"/>
        <v>0</v>
      </c>
      <c r="P134" s="162">
        <f t="shared" si="38"/>
        <v>0</v>
      </c>
    </row>
    <row r="135" spans="2:16">
      <c r="B135" s="9" t="str">
        <f t="shared" si="25"/>
        <v/>
      </c>
      <c r="C135" s="157">
        <f>IF(D93="","-",+C134+1)</f>
        <v>2043</v>
      </c>
      <c r="D135" s="158">
        <f>IF(F134+SUM(E$99:E134)=D$92,F134,D$92-SUM(E$99:E134))</f>
        <v>16159</v>
      </c>
      <c r="E135" s="165">
        <f>IF(+J96&lt;F134,J96,D135)</f>
        <v>1687</v>
      </c>
      <c r="F135" s="163">
        <f t="shared" si="31"/>
        <v>14472</v>
      </c>
      <c r="G135" s="163">
        <f t="shared" si="32"/>
        <v>15315.5</v>
      </c>
      <c r="H135" s="167">
        <f t="shared" si="33"/>
        <v>3260.4465737376622</v>
      </c>
      <c r="I135" s="317">
        <f t="shared" si="34"/>
        <v>3260.4465737376622</v>
      </c>
      <c r="J135" s="162">
        <f t="shared" si="35"/>
        <v>0</v>
      </c>
      <c r="K135" s="162"/>
      <c r="L135" s="335"/>
      <c r="M135" s="162">
        <f t="shared" si="36"/>
        <v>0</v>
      </c>
      <c r="N135" s="335"/>
      <c r="O135" s="162">
        <f t="shared" si="37"/>
        <v>0</v>
      </c>
      <c r="P135" s="162">
        <f t="shared" si="38"/>
        <v>0</v>
      </c>
    </row>
    <row r="136" spans="2:16">
      <c r="B136" s="9" t="str">
        <f t="shared" si="25"/>
        <v/>
      </c>
      <c r="C136" s="157">
        <f>IF(D93="","-",+C135+1)</f>
        <v>2044</v>
      </c>
      <c r="D136" s="158">
        <f>IF(F135+SUM(E$99:E135)=D$92,F135,D$92-SUM(E$99:E135))</f>
        <v>14472</v>
      </c>
      <c r="E136" s="165">
        <f>IF(+J96&lt;F135,J96,D136)</f>
        <v>1687</v>
      </c>
      <c r="F136" s="163">
        <f t="shared" si="31"/>
        <v>12785</v>
      </c>
      <c r="G136" s="163">
        <f t="shared" si="32"/>
        <v>13628.5</v>
      </c>
      <c r="H136" s="167">
        <f t="shared" si="33"/>
        <v>3087.1316725006518</v>
      </c>
      <c r="I136" s="317">
        <f t="shared" si="34"/>
        <v>3087.1316725006518</v>
      </c>
      <c r="J136" s="162">
        <f t="shared" si="35"/>
        <v>0</v>
      </c>
      <c r="K136" s="162"/>
      <c r="L136" s="335"/>
      <c r="M136" s="162">
        <f t="shared" si="36"/>
        <v>0</v>
      </c>
      <c r="N136" s="335"/>
      <c r="O136" s="162">
        <f t="shared" si="37"/>
        <v>0</v>
      </c>
      <c r="P136" s="162">
        <f t="shared" si="38"/>
        <v>0</v>
      </c>
    </row>
    <row r="137" spans="2:16">
      <c r="B137" s="9" t="str">
        <f t="shared" si="25"/>
        <v/>
      </c>
      <c r="C137" s="157">
        <f>IF(D93="","-",+C136+1)</f>
        <v>2045</v>
      </c>
      <c r="D137" s="158">
        <f>IF(F136+SUM(E$99:E136)=D$92,F136,D$92-SUM(E$99:E136))</f>
        <v>12785</v>
      </c>
      <c r="E137" s="165">
        <f>IF(+J96&lt;F136,J96,D137)</f>
        <v>1687</v>
      </c>
      <c r="F137" s="163">
        <f t="shared" si="31"/>
        <v>11098</v>
      </c>
      <c r="G137" s="163">
        <f t="shared" si="32"/>
        <v>11941.5</v>
      </c>
      <c r="H137" s="167">
        <f t="shared" si="33"/>
        <v>2913.8167712636414</v>
      </c>
      <c r="I137" s="317">
        <f t="shared" si="34"/>
        <v>2913.8167712636414</v>
      </c>
      <c r="J137" s="162">
        <f t="shared" si="35"/>
        <v>0</v>
      </c>
      <c r="K137" s="162"/>
      <c r="L137" s="335"/>
      <c r="M137" s="162">
        <f t="shared" si="36"/>
        <v>0</v>
      </c>
      <c r="N137" s="335"/>
      <c r="O137" s="162">
        <f t="shared" si="37"/>
        <v>0</v>
      </c>
      <c r="P137" s="162">
        <f t="shared" si="38"/>
        <v>0</v>
      </c>
    </row>
    <row r="138" spans="2:16">
      <c r="B138" s="9" t="str">
        <f t="shared" si="25"/>
        <v/>
      </c>
      <c r="C138" s="157">
        <f>IF(D93="","-",+C137+1)</f>
        <v>2046</v>
      </c>
      <c r="D138" s="158">
        <f>IF(F137+SUM(E$99:E137)=D$92,F137,D$92-SUM(E$99:E137))</f>
        <v>11098</v>
      </c>
      <c r="E138" s="165">
        <f>IF(+J96&lt;F137,J96,D138)</f>
        <v>1687</v>
      </c>
      <c r="F138" s="163">
        <f t="shared" si="31"/>
        <v>9411</v>
      </c>
      <c r="G138" s="163">
        <f t="shared" si="32"/>
        <v>10254.5</v>
      </c>
      <c r="H138" s="167">
        <f t="shared" si="33"/>
        <v>2740.5018700266305</v>
      </c>
      <c r="I138" s="317">
        <f t="shared" si="34"/>
        <v>2740.5018700266305</v>
      </c>
      <c r="J138" s="162">
        <f t="shared" si="35"/>
        <v>0</v>
      </c>
      <c r="K138" s="162"/>
      <c r="L138" s="335"/>
      <c r="M138" s="162">
        <f t="shared" si="36"/>
        <v>0</v>
      </c>
      <c r="N138" s="335"/>
      <c r="O138" s="162">
        <f t="shared" si="37"/>
        <v>0</v>
      </c>
      <c r="P138" s="162">
        <f t="shared" si="38"/>
        <v>0</v>
      </c>
    </row>
    <row r="139" spans="2:16">
      <c r="B139" s="9" t="str">
        <f t="shared" si="25"/>
        <v/>
      </c>
      <c r="C139" s="157">
        <f>IF(D93="","-",+C138+1)</f>
        <v>2047</v>
      </c>
      <c r="D139" s="158">
        <f>IF(F138+SUM(E$99:E138)=D$92,F138,D$92-SUM(E$99:E138))</f>
        <v>9411</v>
      </c>
      <c r="E139" s="165">
        <f>IF(+J96&lt;F138,J96,D139)</f>
        <v>1687</v>
      </c>
      <c r="F139" s="163">
        <f t="shared" si="31"/>
        <v>7724</v>
      </c>
      <c r="G139" s="163">
        <f t="shared" si="32"/>
        <v>8567.5</v>
      </c>
      <c r="H139" s="167">
        <f t="shared" si="33"/>
        <v>2567.1869687896196</v>
      </c>
      <c r="I139" s="317">
        <f t="shared" si="34"/>
        <v>2567.1869687896196</v>
      </c>
      <c r="J139" s="162">
        <f t="shared" si="35"/>
        <v>0</v>
      </c>
      <c r="K139" s="162"/>
      <c r="L139" s="335"/>
      <c r="M139" s="162">
        <f t="shared" si="36"/>
        <v>0</v>
      </c>
      <c r="N139" s="335"/>
      <c r="O139" s="162">
        <f t="shared" si="37"/>
        <v>0</v>
      </c>
      <c r="P139" s="162">
        <f t="shared" si="38"/>
        <v>0</v>
      </c>
    </row>
    <row r="140" spans="2:16">
      <c r="B140" s="9" t="str">
        <f t="shared" si="25"/>
        <v/>
      </c>
      <c r="C140" s="157">
        <f>IF(D93="","-",+C139+1)</f>
        <v>2048</v>
      </c>
      <c r="D140" s="158">
        <f>IF(F139+SUM(E$99:E139)=D$92,F139,D$92-SUM(E$99:E139))</f>
        <v>7724</v>
      </c>
      <c r="E140" s="165">
        <f>IF(+J96&lt;F139,J96,D140)</f>
        <v>1687</v>
      </c>
      <c r="F140" s="163">
        <f t="shared" si="31"/>
        <v>6037</v>
      </c>
      <c r="G140" s="163">
        <f t="shared" si="32"/>
        <v>6880.5</v>
      </c>
      <c r="H140" s="167">
        <f t="shared" si="33"/>
        <v>2393.8720675526092</v>
      </c>
      <c r="I140" s="317">
        <f t="shared" si="34"/>
        <v>2393.8720675526092</v>
      </c>
      <c r="J140" s="162">
        <f t="shared" si="35"/>
        <v>0</v>
      </c>
      <c r="K140" s="162"/>
      <c r="L140" s="335"/>
      <c r="M140" s="162">
        <f t="shared" si="36"/>
        <v>0</v>
      </c>
      <c r="N140" s="335"/>
      <c r="O140" s="162">
        <f t="shared" si="37"/>
        <v>0</v>
      </c>
      <c r="P140" s="162">
        <f t="shared" si="38"/>
        <v>0</v>
      </c>
    </row>
    <row r="141" spans="2:16">
      <c r="B141" s="9" t="str">
        <f t="shared" si="25"/>
        <v/>
      </c>
      <c r="C141" s="157">
        <f>IF(D93="","-",+C140+1)</f>
        <v>2049</v>
      </c>
      <c r="D141" s="158">
        <f>IF(F140+SUM(E$99:E140)=D$92,F140,D$92-SUM(E$99:E140))</f>
        <v>6037</v>
      </c>
      <c r="E141" s="165">
        <f>IF(+J96&lt;F140,J96,D141)</f>
        <v>1687</v>
      </c>
      <c r="F141" s="163">
        <f t="shared" si="31"/>
        <v>4350</v>
      </c>
      <c r="G141" s="163">
        <f t="shared" si="32"/>
        <v>5193.5</v>
      </c>
      <c r="H141" s="167">
        <f t="shared" si="33"/>
        <v>2220.5571663155988</v>
      </c>
      <c r="I141" s="317">
        <f t="shared" si="34"/>
        <v>2220.5571663155988</v>
      </c>
      <c r="J141" s="162">
        <f t="shared" si="35"/>
        <v>0</v>
      </c>
      <c r="K141" s="162"/>
      <c r="L141" s="335"/>
      <c r="M141" s="162">
        <f t="shared" si="36"/>
        <v>0</v>
      </c>
      <c r="N141" s="335"/>
      <c r="O141" s="162">
        <f t="shared" si="37"/>
        <v>0</v>
      </c>
      <c r="P141" s="162">
        <f t="shared" si="38"/>
        <v>0</v>
      </c>
    </row>
    <row r="142" spans="2:16">
      <c r="B142" s="9" t="str">
        <f t="shared" si="25"/>
        <v/>
      </c>
      <c r="C142" s="157">
        <f>IF(D93="","-",+C141+1)</f>
        <v>2050</v>
      </c>
      <c r="D142" s="158">
        <f>IF(F141+SUM(E$99:E141)=D$92,F141,D$92-SUM(E$99:E141))</f>
        <v>4350</v>
      </c>
      <c r="E142" s="165">
        <f>IF(+J96&lt;F141,J96,D142)</f>
        <v>1687</v>
      </c>
      <c r="F142" s="163">
        <f t="shared" si="31"/>
        <v>2663</v>
      </c>
      <c r="G142" s="163">
        <f t="shared" si="32"/>
        <v>3506.5</v>
      </c>
      <c r="H142" s="167">
        <f t="shared" si="33"/>
        <v>2047.2422650785879</v>
      </c>
      <c r="I142" s="317">
        <f t="shared" si="34"/>
        <v>2047.2422650785879</v>
      </c>
      <c r="J142" s="162">
        <f t="shared" si="35"/>
        <v>0</v>
      </c>
      <c r="K142" s="162"/>
      <c r="L142" s="335"/>
      <c r="M142" s="162">
        <f t="shared" si="36"/>
        <v>0</v>
      </c>
      <c r="N142" s="335"/>
      <c r="O142" s="162">
        <f t="shared" si="37"/>
        <v>0</v>
      </c>
      <c r="P142" s="162">
        <f t="shared" si="38"/>
        <v>0</v>
      </c>
    </row>
    <row r="143" spans="2:16">
      <c r="B143" s="9" t="str">
        <f t="shared" si="25"/>
        <v/>
      </c>
      <c r="C143" s="157">
        <f>IF(D93="","-",+C142+1)</f>
        <v>2051</v>
      </c>
      <c r="D143" s="158">
        <f>IF(F142+SUM(E$99:E142)=D$92,F142,D$92-SUM(E$99:E142))</f>
        <v>2663</v>
      </c>
      <c r="E143" s="165">
        <f>IF(+J96&lt;F142,J96,D143)</f>
        <v>1687</v>
      </c>
      <c r="F143" s="163">
        <f t="shared" si="31"/>
        <v>976</v>
      </c>
      <c r="G143" s="163">
        <f t="shared" si="32"/>
        <v>1819.5</v>
      </c>
      <c r="H143" s="167">
        <f t="shared" si="33"/>
        <v>1873.9273638415773</v>
      </c>
      <c r="I143" s="317">
        <f t="shared" si="34"/>
        <v>1873.9273638415773</v>
      </c>
      <c r="J143" s="162">
        <f t="shared" si="35"/>
        <v>0</v>
      </c>
      <c r="K143" s="162"/>
      <c r="L143" s="335"/>
      <c r="M143" s="162">
        <f t="shared" si="36"/>
        <v>0</v>
      </c>
      <c r="N143" s="335"/>
      <c r="O143" s="162">
        <f t="shared" si="37"/>
        <v>0</v>
      </c>
      <c r="P143" s="162">
        <f t="shared" si="38"/>
        <v>0</v>
      </c>
    </row>
    <row r="144" spans="2:16">
      <c r="B144" s="9" t="str">
        <f t="shared" si="25"/>
        <v/>
      </c>
      <c r="C144" s="157">
        <f>IF(D93="","-",+C143+1)</f>
        <v>2052</v>
      </c>
      <c r="D144" s="158">
        <f>IF(F143+SUM(E$99:E143)=D$92,F143,D$92-SUM(E$99:E143))</f>
        <v>976</v>
      </c>
      <c r="E144" s="165">
        <f>IF(+J96&lt;F143,J96,D144)</f>
        <v>976</v>
      </c>
      <c r="F144" s="163">
        <f t="shared" si="31"/>
        <v>0</v>
      </c>
      <c r="G144" s="163">
        <f t="shared" si="32"/>
        <v>488</v>
      </c>
      <c r="H144" s="167">
        <f t="shared" si="33"/>
        <v>1026.1349566115359</v>
      </c>
      <c r="I144" s="317">
        <f t="shared" si="34"/>
        <v>1026.1349566115359</v>
      </c>
      <c r="J144" s="162">
        <f t="shared" si="35"/>
        <v>0</v>
      </c>
      <c r="K144" s="162"/>
      <c r="L144" s="335"/>
      <c r="M144" s="162">
        <f t="shared" si="36"/>
        <v>0</v>
      </c>
      <c r="N144" s="335"/>
      <c r="O144" s="162">
        <f t="shared" si="37"/>
        <v>0</v>
      </c>
      <c r="P144" s="162">
        <f t="shared" si="38"/>
        <v>0</v>
      </c>
    </row>
    <row r="145" spans="2:16">
      <c r="B145" s="9" t="str">
        <f t="shared" si="25"/>
        <v/>
      </c>
      <c r="C145" s="157">
        <f>IF(D93="","-",+C144+1)</f>
        <v>2053</v>
      </c>
      <c r="D145" s="158">
        <f>IF(F144+SUM(E$99:E144)=D$92,F144,D$92-SUM(E$99:E144))</f>
        <v>0</v>
      </c>
      <c r="E145" s="165">
        <f>IF(+J96&lt;F144,J96,D145)</f>
        <v>0</v>
      </c>
      <c r="F145" s="163">
        <f t="shared" si="31"/>
        <v>0</v>
      </c>
      <c r="G145" s="163">
        <f t="shared" si="32"/>
        <v>0</v>
      </c>
      <c r="H145" s="167">
        <f t="shared" si="33"/>
        <v>0</v>
      </c>
      <c r="I145" s="317">
        <f t="shared" si="34"/>
        <v>0</v>
      </c>
      <c r="J145" s="162">
        <f t="shared" si="35"/>
        <v>0</v>
      </c>
      <c r="K145" s="162"/>
      <c r="L145" s="335"/>
      <c r="M145" s="162">
        <f t="shared" si="36"/>
        <v>0</v>
      </c>
      <c r="N145" s="335"/>
      <c r="O145" s="162">
        <f t="shared" si="37"/>
        <v>0</v>
      </c>
      <c r="P145" s="162">
        <f t="shared" si="38"/>
        <v>0</v>
      </c>
    </row>
    <row r="146" spans="2:16">
      <c r="B146" s="9" t="str">
        <f t="shared" si="25"/>
        <v/>
      </c>
      <c r="C146" s="157">
        <f>IF(D93="","-",+C145+1)</f>
        <v>2054</v>
      </c>
      <c r="D146" s="158">
        <f>IF(F145+SUM(E$99:E145)=D$92,F145,D$92-SUM(E$99:E145))</f>
        <v>0</v>
      </c>
      <c r="E146" s="165">
        <f>IF(+J96&lt;F145,J96,D146)</f>
        <v>0</v>
      </c>
      <c r="F146" s="163">
        <f t="shared" si="31"/>
        <v>0</v>
      </c>
      <c r="G146" s="163">
        <f t="shared" si="32"/>
        <v>0</v>
      </c>
      <c r="H146" s="167">
        <f t="shared" si="33"/>
        <v>0</v>
      </c>
      <c r="I146" s="317">
        <f t="shared" si="34"/>
        <v>0</v>
      </c>
      <c r="J146" s="162">
        <f t="shared" si="35"/>
        <v>0</v>
      </c>
      <c r="K146" s="162"/>
      <c r="L146" s="335"/>
      <c r="M146" s="162">
        <f t="shared" si="36"/>
        <v>0</v>
      </c>
      <c r="N146" s="335"/>
      <c r="O146" s="162">
        <f t="shared" si="37"/>
        <v>0</v>
      </c>
      <c r="P146" s="162">
        <f t="shared" si="38"/>
        <v>0</v>
      </c>
    </row>
    <row r="147" spans="2:16">
      <c r="B147" s="9" t="str">
        <f t="shared" si="25"/>
        <v/>
      </c>
      <c r="C147" s="157">
        <f>IF(D93="","-",+C146+1)</f>
        <v>2055</v>
      </c>
      <c r="D147" s="158">
        <f>IF(F146+SUM(E$99:E146)=D$92,F146,D$92-SUM(E$99:E146))</f>
        <v>0</v>
      </c>
      <c r="E147" s="165">
        <f>IF(+J96&lt;F146,J96,D147)</f>
        <v>0</v>
      </c>
      <c r="F147" s="163">
        <f t="shared" si="31"/>
        <v>0</v>
      </c>
      <c r="G147" s="163">
        <f t="shared" si="32"/>
        <v>0</v>
      </c>
      <c r="H147" s="167">
        <f t="shared" si="33"/>
        <v>0</v>
      </c>
      <c r="I147" s="317">
        <f t="shared" si="34"/>
        <v>0</v>
      </c>
      <c r="J147" s="162">
        <f t="shared" si="35"/>
        <v>0</v>
      </c>
      <c r="K147" s="162"/>
      <c r="L147" s="335"/>
      <c r="M147" s="162">
        <f t="shared" si="36"/>
        <v>0</v>
      </c>
      <c r="N147" s="335"/>
      <c r="O147" s="162">
        <f t="shared" si="37"/>
        <v>0</v>
      </c>
      <c r="P147" s="162">
        <f t="shared" si="38"/>
        <v>0</v>
      </c>
    </row>
    <row r="148" spans="2:16">
      <c r="B148" s="9" t="str">
        <f t="shared" si="25"/>
        <v/>
      </c>
      <c r="C148" s="157">
        <f>IF(D93="","-",+C147+1)</f>
        <v>2056</v>
      </c>
      <c r="D148" s="158">
        <f>IF(F147+SUM(E$99:E147)=D$92,F147,D$92-SUM(E$99:E147))</f>
        <v>0</v>
      </c>
      <c r="E148" s="165">
        <f>IF(+J96&lt;F147,J96,D148)</f>
        <v>0</v>
      </c>
      <c r="F148" s="163">
        <f t="shared" si="31"/>
        <v>0</v>
      </c>
      <c r="G148" s="163">
        <f t="shared" si="32"/>
        <v>0</v>
      </c>
      <c r="H148" s="167">
        <f t="shared" si="33"/>
        <v>0</v>
      </c>
      <c r="I148" s="317">
        <f t="shared" si="34"/>
        <v>0</v>
      </c>
      <c r="J148" s="162">
        <f t="shared" si="35"/>
        <v>0</v>
      </c>
      <c r="K148" s="162"/>
      <c r="L148" s="335"/>
      <c r="M148" s="162">
        <f t="shared" si="36"/>
        <v>0</v>
      </c>
      <c r="N148" s="335"/>
      <c r="O148" s="162">
        <f t="shared" si="37"/>
        <v>0</v>
      </c>
      <c r="P148" s="162">
        <f t="shared" si="38"/>
        <v>0</v>
      </c>
    </row>
    <row r="149" spans="2:16">
      <c r="B149" s="9" t="str">
        <f t="shared" si="25"/>
        <v/>
      </c>
      <c r="C149" s="157">
        <f>IF(D93="","-",+C148+1)</f>
        <v>2057</v>
      </c>
      <c r="D149" s="158">
        <f>IF(F148+SUM(E$99:E148)=D$92,F148,D$92-SUM(E$99:E148))</f>
        <v>0</v>
      </c>
      <c r="E149" s="165">
        <f>IF(+J96&lt;F148,J96,D149)</f>
        <v>0</v>
      </c>
      <c r="F149" s="163">
        <f t="shared" si="31"/>
        <v>0</v>
      </c>
      <c r="G149" s="163">
        <f t="shared" si="32"/>
        <v>0</v>
      </c>
      <c r="H149" s="167">
        <f t="shared" si="33"/>
        <v>0</v>
      </c>
      <c r="I149" s="317">
        <f t="shared" si="34"/>
        <v>0</v>
      </c>
      <c r="J149" s="162">
        <f t="shared" si="35"/>
        <v>0</v>
      </c>
      <c r="K149" s="162"/>
      <c r="L149" s="335"/>
      <c r="M149" s="162">
        <f t="shared" si="36"/>
        <v>0</v>
      </c>
      <c r="N149" s="335"/>
      <c r="O149" s="162">
        <f t="shared" si="37"/>
        <v>0</v>
      </c>
      <c r="P149" s="162">
        <f t="shared" si="38"/>
        <v>0</v>
      </c>
    </row>
    <row r="150" spans="2:16">
      <c r="B150" s="9" t="str">
        <f t="shared" si="25"/>
        <v/>
      </c>
      <c r="C150" s="157">
        <f>IF(D93="","-",+C149+1)</f>
        <v>2058</v>
      </c>
      <c r="D150" s="158">
        <f>IF(F149+SUM(E$99:E149)=D$92,F149,D$92-SUM(E$99:E149))</f>
        <v>0</v>
      </c>
      <c r="E150" s="165">
        <f>IF(+J96&lt;F149,J96,D150)</f>
        <v>0</v>
      </c>
      <c r="F150" s="163">
        <f t="shared" si="31"/>
        <v>0</v>
      </c>
      <c r="G150" s="163">
        <f t="shared" si="32"/>
        <v>0</v>
      </c>
      <c r="H150" s="167">
        <f t="shared" si="33"/>
        <v>0</v>
      </c>
      <c r="I150" s="317">
        <f t="shared" si="34"/>
        <v>0</v>
      </c>
      <c r="J150" s="162">
        <f t="shared" si="35"/>
        <v>0</v>
      </c>
      <c r="K150" s="162"/>
      <c r="L150" s="335"/>
      <c r="M150" s="162">
        <f t="shared" si="36"/>
        <v>0</v>
      </c>
      <c r="N150" s="335"/>
      <c r="O150" s="162">
        <f t="shared" si="37"/>
        <v>0</v>
      </c>
      <c r="P150" s="162">
        <f t="shared" si="38"/>
        <v>0</v>
      </c>
    </row>
    <row r="151" spans="2:16">
      <c r="B151" s="9" t="str">
        <f t="shared" si="25"/>
        <v/>
      </c>
      <c r="C151" s="157">
        <f>IF(D93="","-",+C150+1)</f>
        <v>2059</v>
      </c>
      <c r="D151" s="158">
        <f>IF(F150+SUM(E$99:E150)=D$92,F150,D$92-SUM(E$99:E150))</f>
        <v>0</v>
      </c>
      <c r="E151" s="165">
        <f>IF(+J96&lt;F150,J96,D151)</f>
        <v>0</v>
      </c>
      <c r="F151" s="163">
        <f t="shared" si="31"/>
        <v>0</v>
      </c>
      <c r="G151" s="163">
        <f t="shared" si="32"/>
        <v>0</v>
      </c>
      <c r="H151" s="167">
        <f t="shared" si="33"/>
        <v>0</v>
      </c>
      <c r="I151" s="317">
        <f t="shared" si="34"/>
        <v>0</v>
      </c>
      <c r="J151" s="162">
        <f t="shared" si="35"/>
        <v>0</v>
      </c>
      <c r="K151" s="162"/>
      <c r="L151" s="335"/>
      <c r="M151" s="162">
        <f t="shared" si="36"/>
        <v>0</v>
      </c>
      <c r="N151" s="335"/>
      <c r="O151" s="162">
        <f t="shared" si="37"/>
        <v>0</v>
      </c>
      <c r="P151" s="162">
        <f t="shared" si="38"/>
        <v>0</v>
      </c>
    </row>
    <row r="152" spans="2:16">
      <c r="B152" s="9" t="str">
        <f t="shared" si="25"/>
        <v/>
      </c>
      <c r="C152" s="157">
        <f>IF(D93="","-",+C151+1)</f>
        <v>2060</v>
      </c>
      <c r="D152" s="158">
        <f>IF(F151+SUM(E$99:E151)=D$92,F151,D$92-SUM(E$99:E151))</f>
        <v>0</v>
      </c>
      <c r="E152" s="165">
        <f>IF(+J96&lt;F151,J96,D152)</f>
        <v>0</v>
      </c>
      <c r="F152" s="163">
        <f t="shared" si="31"/>
        <v>0</v>
      </c>
      <c r="G152" s="163">
        <f t="shared" si="32"/>
        <v>0</v>
      </c>
      <c r="H152" s="167">
        <f t="shared" si="33"/>
        <v>0</v>
      </c>
      <c r="I152" s="317">
        <f t="shared" si="34"/>
        <v>0</v>
      </c>
      <c r="J152" s="162">
        <f t="shared" si="35"/>
        <v>0</v>
      </c>
      <c r="K152" s="162"/>
      <c r="L152" s="335"/>
      <c r="M152" s="162">
        <f t="shared" si="36"/>
        <v>0</v>
      </c>
      <c r="N152" s="335"/>
      <c r="O152" s="162">
        <f t="shared" si="37"/>
        <v>0</v>
      </c>
      <c r="P152" s="162">
        <f t="shared" si="38"/>
        <v>0</v>
      </c>
    </row>
    <row r="153" spans="2:16">
      <c r="B153" s="9" t="str">
        <f t="shared" si="25"/>
        <v/>
      </c>
      <c r="C153" s="157">
        <f>IF(D93="","-",+C152+1)</f>
        <v>2061</v>
      </c>
      <c r="D153" s="158">
        <f>IF(F152+SUM(E$99:E152)=D$92,F152,D$92-SUM(E$99:E152))</f>
        <v>0</v>
      </c>
      <c r="E153" s="165">
        <f>IF(+J96&lt;F152,J96,D153)</f>
        <v>0</v>
      </c>
      <c r="F153" s="163">
        <f t="shared" si="31"/>
        <v>0</v>
      </c>
      <c r="G153" s="163">
        <f t="shared" si="32"/>
        <v>0</v>
      </c>
      <c r="H153" s="167">
        <f t="shared" si="33"/>
        <v>0</v>
      </c>
      <c r="I153" s="317">
        <f t="shared" si="34"/>
        <v>0</v>
      </c>
      <c r="J153" s="162">
        <f t="shared" si="35"/>
        <v>0</v>
      </c>
      <c r="K153" s="162"/>
      <c r="L153" s="335"/>
      <c r="M153" s="162">
        <f t="shared" si="36"/>
        <v>0</v>
      </c>
      <c r="N153" s="335"/>
      <c r="O153" s="162">
        <f t="shared" si="37"/>
        <v>0</v>
      </c>
      <c r="P153" s="162">
        <f t="shared" si="38"/>
        <v>0</v>
      </c>
    </row>
    <row r="154" spans="2:16" ht="13.5" thickBot="1">
      <c r="B154" s="9" t="str">
        <f t="shared" si="25"/>
        <v/>
      </c>
      <c r="C154" s="168">
        <f>IF(D93="","-",+C153+1)</f>
        <v>2062</v>
      </c>
      <c r="D154" s="169">
        <f>IF(F153+SUM(E$99:E153)=D$92,F153,D$92-SUM(E$99:E153))</f>
        <v>0</v>
      </c>
      <c r="E154" s="377">
        <f>IF(+J96&lt;F153,J96,D154)</f>
        <v>0</v>
      </c>
      <c r="F154" s="169">
        <f t="shared" si="31"/>
        <v>0</v>
      </c>
      <c r="G154" s="169">
        <f t="shared" si="32"/>
        <v>0</v>
      </c>
      <c r="H154" s="171">
        <f t="shared" si="33"/>
        <v>0</v>
      </c>
      <c r="I154" s="318">
        <f t="shared" si="34"/>
        <v>0</v>
      </c>
      <c r="J154" s="173">
        <f t="shared" si="35"/>
        <v>0</v>
      </c>
      <c r="K154" s="162"/>
      <c r="L154" s="336"/>
      <c r="M154" s="173">
        <f t="shared" si="36"/>
        <v>0</v>
      </c>
      <c r="N154" s="336"/>
      <c r="O154" s="173">
        <f t="shared" si="37"/>
        <v>0</v>
      </c>
      <c r="P154" s="173">
        <f t="shared" si="38"/>
        <v>0</v>
      </c>
    </row>
    <row r="155" spans="2:16">
      <c r="C155" s="158" t="s">
        <v>72</v>
      </c>
      <c r="D155" s="115"/>
      <c r="E155" s="115">
        <f>SUM(E99:E154)</f>
        <v>72551</v>
      </c>
      <c r="F155" s="115"/>
      <c r="G155" s="115"/>
      <c r="H155" s="115">
        <f>SUM(H99:H154)</f>
        <v>275924.95687261055</v>
      </c>
      <c r="I155" s="115">
        <f>SUM(I99:I154)</f>
        <v>275924.95687261055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phoneticPr fontId="0" type="noConversion"/>
  <conditionalFormatting sqref="C17:C72">
    <cfRule type="cellIs" dxfId="44" priority="1" stopIfTrue="1" operator="equal">
      <formula>$I$10</formula>
    </cfRule>
  </conditionalFormatting>
  <conditionalFormatting sqref="C99:C154">
    <cfRule type="cellIs" dxfId="43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tabColor rgb="FFC00000"/>
  </sheetPr>
  <dimension ref="A1:P162"/>
  <sheetViews>
    <sheetView view="pageBreakPreview" zoomScale="75" zoomScaleNormal="100" workbookViewId="0">
      <selection activeCell="D17" sqref="D17:H26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"&amp;RIGHT(MID(CELL("filename",$A$1),FIND("]",CELL("filename",$A$1))+1,256),2)&amp;" of "&amp;COUNT('P.001:P.xyz - blank'!$P$3)-1</f>
        <v>PSO Project 10 of 28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275</v>
      </c>
      <c r="L5" s="119"/>
      <c r="M5" s="120"/>
      <c r="N5" s="121">
        <f>VLOOKUP(I10,C17:I72,5)</f>
        <v>10576.425832738674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276</v>
      </c>
      <c r="L6" s="125"/>
      <c r="M6" s="4"/>
      <c r="N6" s="126">
        <f>VLOOKUP(I10,C17:I72,6)</f>
        <v>10576.425832738674</v>
      </c>
      <c r="O6" s="1"/>
      <c r="P6" s="1"/>
    </row>
    <row r="7" spans="1:16" ht="13.5" thickBot="1">
      <c r="C7" s="127" t="s">
        <v>41</v>
      </c>
      <c r="D7" s="270" t="s">
        <v>248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 t="str">
        <f>IF(D10&lt;100000,"DOES NOT MEET SPP $100,000 MINIMUM INVESTMENT FOR REGIONAL BPU SHARING.","")</f>
        <v>DOES NOT MEET SPP $100,000 MINIMUM INVESTMENT FOR REGIONAL BPU SHARING.</v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43</v>
      </c>
      <c r="D9" s="229" t="s">
        <v>212</v>
      </c>
      <c r="E9" s="427" t="s">
        <v>308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96566</v>
      </c>
      <c r="E10" s="64" t="s">
        <v>46</v>
      </c>
      <c r="F10" s="137"/>
      <c r="G10" s="139"/>
      <c r="H10" s="139"/>
      <c r="I10" s="140">
        <f>+PSO.WS.F.BPU.ATRR.Projected!L19</f>
        <v>2020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2010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6</v>
      </c>
      <c r="E12" s="141" t="s">
        <v>51</v>
      </c>
      <c r="F12" s="139"/>
      <c r="G12" s="7"/>
      <c r="H12" s="7"/>
      <c r="I12" s="145">
        <f>PSO.WS.F.BPU.ATRR.Projected!$F$81</f>
        <v>0.10800477690995318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42</v>
      </c>
      <c r="E13" s="141" t="s">
        <v>54</v>
      </c>
      <c r="F13" s="139"/>
      <c r="G13" s="7"/>
      <c r="H13" s="7"/>
      <c r="I13" s="145">
        <f>IF(G5="",I12,PSO.WS.F.BPU.ATRR.Projected!$F$80)</f>
        <v>0.10800477690995318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2299.1904761904761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277</v>
      </c>
      <c r="H15" s="362" t="s">
        <v>278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2010</v>
      </c>
      <c r="D17" s="366">
        <v>135400</v>
      </c>
      <c r="E17" s="367">
        <v>1209</v>
      </c>
      <c r="F17" s="366">
        <v>134191</v>
      </c>
      <c r="G17" s="367">
        <v>20572</v>
      </c>
      <c r="H17" s="370">
        <v>20572</v>
      </c>
      <c r="I17" s="160">
        <f t="shared" ref="I17:I48" si="0">H17-G17</f>
        <v>0</v>
      </c>
      <c r="J17" s="160"/>
      <c r="K17" s="337">
        <f t="shared" ref="K17:K22" si="1">G17</f>
        <v>20572</v>
      </c>
      <c r="L17" s="161">
        <f t="shared" ref="L17:L48" si="2">IF(K17&lt;&gt;0,+G17-K17,0)</f>
        <v>0</v>
      </c>
      <c r="M17" s="337">
        <f t="shared" ref="M17:M22" si="3">H17</f>
        <v>20572</v>
      </c>
      <c r="N17" s="161">
        <f t="shared" ref="N17:N48" si="4">IF(M17&lt;&gt;0,+H17-M17,0)</f>
        <v>0</v>
      </c>
      <c r="O17" s="162">
        <f t="shared" ref="O17:O48" si="5">+N17-L17</f>
        <v>0</v>
      </c>
      <c r="P17" s="4"/>
    </row>
    <row r="18" spans="2:16">
      <c r="B18" s="9" t="str">
        <f>IF(D18=F17,"","IU")</f>
        <v>IU</v>
      </c>
      <c r="C18" s="157">
        <f>IF(D11="","-",+C17+1)</f>
        <v>2011</v>
      </c>
      <c r="D18" s="371">
        <v>95357</v>
      </c>
      <c r="E18" s="368">
        <v>1893.4509803921569</v>
      </c>
      <c r="F18" s="371">
        <v>93463.549019607846</v>
      </c>
      <c r="G18" s="368">
        <v>16524.450980392157</v>
      </c>
      <c r="H18" s="370">
        <v>16524.450980392157</v>
      </c>
      <c r="I18" s="160">
        <f t="shared" si="0"/>
        <v>0</v>
      </c>
      <c r="J18" s="160"/>
      <c r="K18" s="338">
        <f t="shared" si="1"/>
        <v>16524.450980392157</v>
      </c>
      <c r="L18" s="272">
        <f t="shared" si="2"/>
        <v>0</v>
      </c>
      <c r="M18" s="338">
        <f t="shared" si="3"/>
        <v>16524.450980392157</v>
      </c>
      <c r="N18" s="162">
        <f t="shared" si="4"/>
        <v>0</v>
      </c>
      <c r="O18" s="162">
        <f t="shared" si="5"/>
        <v>0</v>
      </c>
      <c r="P18" s="4"/>
    </row>
    <row r="19" spans="2:16">
      <c r="B19" s="9" t="str">
        <f>IF(D19=F18,"","IU")</f>
        <v/>
      </c>
      <c r="C19" s="157">
        <f>IF(D11="","-",+C18+1)</f>
        <v>2012</v>
      </c>
      <c r="D19" s="371">
        <v>93463.549019607846</v>
      </c>
      <c r="E19" s="368">
        <v>1857.0384615384614</v>
      </c>
      <c r="F19" s="371">
        <v>91606.510558069378</v>
      </c>
      <c r="G19" s="368">
        <v>14609.038461538461</v>
      </c>
      <c r="H19" s="370">
        <v>14609.038461538461</v>
      </c>
      <c r="I19" s="160">
        <f t="shared" si="0"/>
        <v>0</v>
      </c>
      <c r="J19" s="160"/>
      <c r="K19" s="338">
        <f t="shared" si="1"/>
        <v>14609.038461538461</v>
      </c>
      <c r="L19" s="272">
        <f t="shared" si="2"/>
        <v>0</v>
      </c>
      <c r="M19" s="338">
        <f t="shared" si="3"/>
        <v>14609.038461538461</v>
      </c>
      <c r="N19" s="162">
        <f t="shared" si="4"/>
        <v>0</v>
      </c>
      <c r="O19" s="162">
        <f t="shared" si="5"/>
        <v>0</v>
      </c>
      <c r="P19" s="4"/>
    </row>
    <row r="20" spans="2:16">
      <c r="B20" s="9" t="str">
        <f t="shared" ref="B20:B72" si="6">IF(D20=F19,"","IU")</f>
        <v/>
      </c>
      <c r="C20" s="157">
        <f>IF(D11="","-",+C19+1)</f>
        <v>2013</v>
      </c>
      <c r="D20" s="371">
        <v>91606.510558069378</v>
      </c>
      <c r="E20" s="368">
        <v>1857.0384615384614</v>
      </c>
      <c r="F20" s="371">
        <v>89749.47209653091</v>
      </c>
      <c r="G20" s="368">
        <v>14674.038461538461</v>
      </c>
      <c r="H20" s="370">
        <v>14674.038461538461</v>
      </c>
      <c r="I20" s="160">
        <v>0</v>
      </c>
      <c r="J20" s="160"/>
      <c r="K20" s="338">
        <f t="shared" si="1"/>
        <v>14674.038461538461</v>
      </c>
      <c r="L20" s="272">
        <f t="shared" ref="L20:L25" si="7">IF(K20&lt;&gt;0,+G20-K20,0)</f>
        <v>0</v>
      </c>
      <c r="M20" s="338">
        <f t="shared" si="3"/>
        <v>14674.038461538461</v>
      </c>
      <c r="N20" s="162">
        <f t="shared" ref="N20:N25" si="8">IF(M20&lt;&gt;0,+H20-M20,0)</f>
        <v>0</v>
      </c>
      <c r="O20" s="162">
        <f t="shared" ref="O20:O25" si="9">+N20-L20</f>
        <v>0</v>
      </c>
      <c r="P20" s="4"/>
    </row>
    <row r="21" spans="2:16">
      <c r="B21" s="9" t="str">
        <f t="shared" si="6"/>
        <v/>
      </c>
      <c r="C21" s="157">
        <f>IF(D11="","-",+C20+1)</f>
        <v>2014</v>
      </c>
      <c r="D21" s="371">
        <v>89749.47209653091</v>
      </c>
      <c r="E21" s="368">
        <v>1857.0384615384614</v>
      </c>
      <c r="F21" s="371">
        <v>87892.433634992442</v>
      </c>
      <c r="G21" s="368">
        <v>13956.038461538461</v>
      </c>
      <c r="H21" s="370">
        <v>13956.038461538461</v>
      </c>
      <c r="I21" s="160">
        <v>0</v>
      </c>
      <c r="J21" s="160"/>
      <c r="K21" s="338">
        <f t="shared" si="1"/>
        <v>13956.038461538461</v>
      </c>
      <c r="L21" s="272">
        <f t="shared" si="7"/>
        <v>0</v>
      </c>
      <c r="M21" s="338">
        <f t="shared" si="3"/>
        <v>13956.038461538461</v>
      </c>
      <c r="N21" s="162">
        <f t="shared" si="8"/>
        <v>0</v>
      </c>
      <c r="O21" s="162">
        <f t="shared" si="9"/>
        <v>0</v>
      </c>
      <c r="P21" s="4"/>
    </row>
    <row r="22" spans="2:16">
      <c r="B22" s="9" t="str">
        <f t="shared" si="6"/>
        <v/>
      </c>
      <c r="C22" s="157">
        <f>IF(D11="","-",+C21+1)</f>
        <v>2015</v>
      </c>
      <c r="D22" s="371">
        <v>87892.433634992442</v>
      </c>
      <c r="E22" s="368">
        <v>1857.0384615384614</v>
      </c>
      <c r="F22" s="371">
        <v>86035.395173453973</v>
      </c>
      <c r="G22" s="368">
        <v>13719.038461538461</v>
      </c>
      <c r="H22" s="370">
        <v>13719.038461538461</v>
      </c>
      <c r="I22" s="160">
        <v>0</v>
      </c>
      <c r="J22" s="160"/>
      <c r="K22" s="338">
        <f t="shared" si="1"/>
        <v>13719.038461538461</v>
      </c>
      <c r="L22" s="272">
        <f t="shared" si="7"/>
        <v>0</v>
      </c>
      <c r="M22" s="338">
        <f t="shared" si="3"/>
        <v>13719.038461538461</v>
      </c>
      <c r="N22" s="162">
        <f t="shared" si="8"/>
        <v>0</v>
      </c>
      <c r="O22" s="162">
        <f t="shared" si="9"/>
        <v>0</v>
      </c>
      <c r="P22" s="4"/>
    </row>
    <row r="23" spans="2:16">
      <c r="B23" s="9" t="str">
        <f t="shared" si="6"/>
        <v/>
      </c>
      <c r="C23" s="157">
        <f>IF(D11="","-",+C22+1)</f>
        <v>2016</v>
      </c>
      <c r="D23" s="371">
        <v>86035.395173453973</v>
      </c>
      <c r="E23" s="368">
        <v>1857.0384615384614</v>
      </c>
      <c r="F23" s="371">
        <v>84178.356711915505</v>
      </c>
      <c r="G23" s="368">
        <v>12898.038461538461</v>
      </c>
      <c r="H23" s="370">
        <v>12898.038461538461</v>
      </c>
      <c r="I23" s="160">
        <f t="shared" si="0"/>
        <v>0</v>
      </c>
      <c r="J23" s="160"/>
      <c r="K23" s="338">
        <f>G23</f>
        <v>12898.038461538461</v>
      </c>
      <c r="L23" s="272">
        <f t="shared" si="7"/>
        <v>0</v>
      </c>
      <c r="M23" s="338">
        <f>H23</f>
        <v>12898.038461538461</v>
      </c>
      <c r="N23" s="162">
        <f t="shared" si="8"/>
        <v>0</v>
      </c>
      <c r="O23" s="162">
        <f t="shared" si="9"/>
        <v>0</v>
      </c>
      <c r="P23" s="4"/>
    </row>
    <row r="24" spans="2:16">
      <c r="B24" s="9" t="str">
        <f t="shared" si="6"/>
        <v/>
      </c>
      <c r="C24" s="157">
        <f>IF(D11="","-",+C23+1)</f>
        <v>2017</v>
      </c>
      <c r="D24" s="371">
        <v>84178.356711915505</v>
      </c>
      <c r="E24" s="368">
        <v>2099.2608695652175</v>
      </c>
      <c r="F24" s="371">
        <v>82079.095842350289</v>
      </c>
      <c r="G24" s="368">
        <v>12544.260869565218</v>
      </c>
      <c r="H24" s="370">
        <v>12544.260869565218</v>
      </c>
      <c r="I24" s="160">
        <v>0</v>
      </c>
      <c r="J24" s="160"/>
      <c r="K24" s="338">
        <f>G24</f>
        <v>12544.260869565218</v>
      </c>
      <c r="L24" s="272">
        <f t="shared" si="7"/>
        <v>0</v>
      </c>
      <c r="M24" s="338">
        <f>H24</f>
        <v>12544.260869565218</v>
      </c>
      <c r="N24" s="162">
        <f t="shared" si="8"/>
        <v>0</v>
      </c>
      <c r="O24" s="162">
        <f t="shared" si="9"/>
        <v>0</v>
      </c>
      <c r="P24" s="4"/>
    </row>
    <row r="25" spans="2:16">
      <c r="B25" s="9" t="str">
        <f t="shared" si="6"/>
        <v/>
      </c>
      <c r="C25" s="157">
        <f>IF(D11="","-",+C24+1)</f>
        <v>2018</v>
      </c>
      <c r="D25" s="371">
        <v>82079.095842350289</v>
      </c>
      <c r="E25" s="368">
        <v>2145.911111111111</v>
      </c>
      <c r="F25" s="371">
        <v>79933.184731239176</v>
      </c>
      <c r="G25" s="368">
        <v>12963.911111111111</v>
      </c>
      <c r="H25" s="370">
        <v>12963.911111111111</v>
      </c>
      <c r="I25" s="160">
        <f t="shared" si="0"/>
        <v>0</v>
      </c>
      <c r="J25" s="160"/>
      <c r="K25" s="338">
        <f>G25</f>
        <v>12963.911111111111</v>
      </c>
      <c r="L25" s="272">
        <f t="shared" si="7"/>
        <v>0</v>
      </c>
      <c r="M25" s="338">
        <f>H25</f>
        <v>12963.911111111111</v>
      </c>
      <c r="N25" s="162">
        <f t="shared" si="8"/>
        <v>0</v>
      </c>
      <c r="O25" s="162">
        <f t="shared" si="9"/>
        <v>0</v>
      </c>
      <c r="P25" s="4"/>
    </row>
    <row r="26" spans="2:16">
      <c r="B26" s="9" t="str">
        <f t="shared" si="6"/>
        <v/>
      </c>
      <c r="C26" s="157">
        <f>IF(D11="","-",+C25+1)</f>
        <v>2019</v>
      </c>
      <c r="D26" s="371">
        <v>79933.184731239176</v>
      </c>
      <c r="E26" s="368">
        <v>2145.911111111111</v>
      </c>
      <c r="F26" s="371">
        <v>77787.273620128064</v>
      </c>
      <c r="G26" s="368">
        <v>12672.911111111111</v>
      </c>
      <c r="H26" s="370">
        <v>12672.911111111111</v>
      </c>
      <c r="I26" s="160">
        <f t="shared" si="0"/>
        <v>0</v>
      </c>
      <c r="J26" s="160"/>
      <c r="K26" s="338">
        <f>G26</f>
        <v>12672.911111111111</v>
      </c>
      <c r="L26" s="272">
        <f t="shared" ref="L26" si="10">IF(K26&lt;&gt;0,+G26-K26,0)</f>
        <v>0</v>
      </c>
      <c r="M26" s="338">
        <f>H26</f>
        <v>12672.911111111111</v>
      </c>
      <c r="N26" s="162">
        <f t="shared" ref="N26" si="11">IF(M26&lt;&gt;0,+H26-M26,0)</f>
        <v>0</v>
      </c>
      <c r="O26" s="162">
        <f t="shared" si="5"/>
        <v>0</v>
      </c>
      <c r="P26" s="4"/>
    </row>
    <row r="27" spans="2:16">
      <c r="B27" s="386" t="str">
        <f t="shared" si="6"/>
        <v/>
      </c>
      <c r="C27" s="157">
        <f>IF(D11="","-",+C26+1)</f>
        <v>2020</v>
      </c>
      <c r="D27" s="166">
        <f>IF(F26+SUM(E$17:E26)=D$10,F26,D$10-SUM(E$17:E26))</f>
        <v>77787.273620128064</v>
      </c>
      <c r="E27" s="164">
        <f>IF(+I14&lt;F26,I14,D27)</f>
        <v>2299.1904761904761</v>
      </c>
      <c r="F27" s="163">
        <f t="shared" ref="F27:F48" si="12">+D27-E27</f>
        <v>75488.083143937591</v>
      </c>
      <c r="G27" s="165">
        <f t="shared" ref="G27:G72" si="13">(D27+F27)/2*I$12+E27</f>
        <v>10576.425832738674</v>
      </c>
      <c r="H27" s="147">
        <f t="shared" ref="H27:H72" si="14">+(D27+F27)/2*I$13+E27</f>
        <v>10576.425832738674</v>
      </c>
      <c r="I27" s="160">
        <f t="shared" si="0"/>
        <v>0</v>
      </c>
      <c r="J27" s="160"/>
      <c r="K27" s="335"/>
      <c r="L27" s="162">
        <f t="shared" si="2"/>
        <v>0</v>
      </c>
      <c r="M27" s="335"/>
      <c r="N27" s="162">
        <f t="shared" si="4"/>
        <v>0</v>
      </c>
      <c r="O27" s="162">
        <f t="shared" si="5"/>
        <v>0</v>
      </c>
      <c r="P27" s="4"/>
    </row>
    <row r="28" spans="2:16">
      <c r="B28" s="9" t="str">
        <f t="shared" si="6"/>
        <v/>
      </c>
      <c r="C28" s="157">
        <f>IF(D11="","-",+C27+1)</f>
        <v>2021</v>
      </c>
      <c r="D28" s="163">
        <f>IF(F27+SUM(E$17:E27)=D$10,F27,D$10-SUM(E$17:E27))</f>
        <v>75488.083143937591</v>
      </c>
      <c r="E28" s="164">
        <f>IF(+I14&lt;F27,I14,D28)</f>
        <v>2299.1904761904761</v>
      </c>
      <c r="F28" s="163">
        <f t="shared" si="12"/>
        <v>73188.892667747117</v>
      </c>
      <c r="G28" s="165">
        <f t="shared" si="13"/>
        <v>10328.102278284232</v>
      </c>
      <c r="H28" s="147">
        <f t="shared" si="14"/>
        <v>10328.102278284232</v>
      </c>
      <c r="I28" s="160">
        <f t="shared" si="0"/>
        <v>0</v>
      </c>
      <c r="J28" s="160"/>
      <c r="K28" s="335"/>
      <c r="L28" s="162">
        <f t="shared" si="2"/>
        <v>0</v>
      </c>
      <c r="M28" s="335"/>
      <c r="N28" s="162">
        <f t="shared" si="4"/>
        <v>0</v>
      </c>
      <c r="O28" s="162">
        <f t="shared" si="5"/>
        <v>0</v>
      </c>
      <c r="P28" s="4"/>
    </row>
    <row r="29" spans="2:16">
      <c r="B29" s="9" t="str">
        <f t="shared" si="6"/>
        <v/>
      </c>
      <c r="C29" s="157">
        <f>IF(D11="","-",+C28+1)</f>
        <v>2022</v>
      </c>
      <c r="D29" s="163">
        <f>IF(F28+SUM(E$17:E28)=D$10,F28,D$10-SUM(E$17:E28))</f>
        <v>73188.892667747117</v>
      </c>
      <c r="E29" s="164">
        <f>IF(+I14&lt;F28,I14,D29)</f>
        <v>2299.1904761904761</v>
      </c>
      <c r="F29" s="163">
        <f t="shared" si="12"/>
        <v>70889.702191556644</v>
      </c>
      <c r="G29" s="165">
        <f t="shared" si="13"/>
        <v>10079.77872382979</v>
      </c>
      <c r="H29" s="147">
        <f t="shared" si="14"/>
        <v>10079.77872382979</v>
      </c>
      <c r="I29" s="160">
        <f t="shared" si="0"/>
        <v>0</v>
      </c>
      <c r="J29" s="160"/>
      <c r="K29" s="335"/>
      <c r="L29" s="162">
        <f t="shared" si="2"/>
        <v>0</v>
      </c>
      <c r="M29" s="335"/>
      <c r="N29" s="162">
        <f t="shared" si="4"/>
        <v>0</v>
      </c>
      <c r="O29" s="162">
        <f t="shared" si="5"/>
        <v>0</v>
      </c>
      <c r="P29" s="4"/>
    </row>
    <row r="30" spans="2:16">
      <c r="B30" s="9" t="str">
        <f t="shared" si="6"/>
        <v/>
      </c>
      <c r="C30" s="157">
        <f>IF(D11="","-",+C29+1)</f>
        <v>2023</v>
      </c>
      <c r="D30" s="163">
        <f>IF(F29+SUM(E$17:E29)=D$10,F29,D$10-SUM(E$17:E29))</f>
        <v>70889.702191556644</v>
      </c>
      <c r="E30" s="164">
        <f>IF(+I14&lt;F29,I14,D30)</f>
        <v>2299.1904761904761</v>
      </c>
      <c r="F30" s="163">
        <f t="shared" si="12"/>
        <v>68590.51171536617</v>
      </c>
      <c r="G30" s="165">
        <f t="shared" si="13"/>
        <v>9831.4551693753492</v>
      </c>
      <c r="H30" s="147">
        <f t="shared" si="14"/>
        <v>9831.4551693753492</v>
      </c>
      <c r="I30" s="160">
        <f t="shared" si="0"/>
        <v>0</v>
      </c>
      <c r="J30" s="160"/>
      <c r="K30" s="335"/>
      <c r="L30" s="162">
        <f t="shared" si="2"/>
        <v>0</v>
      </c>
      <c r="M30" s="335"/>
      <c r="N30" s="162">
        <f t="shared" si="4"/>
        <v>0</v>
      </c>
      <c r="O30" s="162">
        <f t="shared" si="5"/>
        <v>0</v>
      </c>
      <c r="P30" s="4"/>
    </row>
    <row r="31" spans="2:16">
      <c r="B31" s="9" t="str">
        <f t="shared" si="6"/>
        <v/>
      </c>
      <c r="C31" s="157">
        <f>IF(D11="","-",+C30+1)</f>
        <v>2024</v>
      </c>
      <c r="D31" s="163">
        <f>IF(F30+SUM(E$17:E30)=D$10,F30,D$10-SUM(E$17:E30))</f>
        <v>68590.51171536617</v>
      </c>
      <c r="E31" s="164">
        <f>IF(+I14&lt;F30,I14,D31)</f>
        <v>2299.1904761904761</v>
      </c>
      <c r="F31" s="163">
        <f t="shared" si="12"/>
        <v>66291.321239175697</v>
      </c>
      <c r="G31" s="165">
        <f t="shared" si="13"/>
        <v>9583.1316149209088</v>
      </c>
      <c r="H31" s="147">
        <f t="shared" si="14"/>
        <v>9583.1316149209088</v>
      </c>
      <c r="I31" s="160">
        <f t="shared" si="0"/>
        <v>0</v>
      </c>
      <c r="J31" s="160"/>
      <c r="K31" s="335"/>
      <c r="L31" s="162">
        <f t="shared" si="2"/>
        <v>0</v>
      </c>
      <c r="M31" s="335"/>
      <c r="N31" s="162">
        <f t="shared" si="4"/>
        <v>0</v>
      </c>
      <c r="O31" s="162">
        <f t="shared" si="5"/>
        <v>0</v>
      </c>
      <c r="P31" s="4"/>
    </row>
    <row r="32" spans="2:16">
      <c r="B32" s="9" t="str">
        <f t="shared" si="6"/>
        <v/>
      </c>
      <c r="C32" s="157">
        <f>IF(D11="","-",+C31+1)</f>
        <v>2025</v>
      </c>
      <c r="D32" s="163">
        <f>IF(F31+SUM(E$17:E31)=D$10,F31,D$10-SUM(E$17:E31))</f>
        <v>66291.321239175697</v>
      </c>
      <c r="E32" s="164">
        <f>IF(+I14&lt;F31,I14,D32)</f>
        <v>2299.1904761904761</v>
      </c>
      <c r="F32" s="163">
        <f t="shared" si="12"/>
        <v>63992.130762985224</v>
      </c>
      <c r="G32" s="165">
        <f t="shared" si="13"/>
        <v>9334.8080604664683</v>
      </c>
      <c r="H32" s="147">
        <f t="shared" si="14"/>
        <v>9334.8080604664683</v>
      </c>
      <c r="I32" s="160">
        <f t="shared" si="0"/>
        <v>0</v>
      </c>
      <c r="J32" s="160"/>
      <c r="K32" s="335"/>
      <c r="L32" s="162">
        <f t="shared" si="2"/>
        <v>0</v>
      </c>
      <c r="M32" s="335"/>
      <c r="N32" s="162">
        <f t="shared" si="4"/>
        <v>0</v>
      </c>
      <c r="O32" s="162">
        <f t="shared" si="5"/>
        <v>0</v>
      </c>
      <c r="P32" s="4"/>
    </row>
    <row r="33" spans="2:16">
      <c r="B33" s="9" t="str">
        <f t="shared" si="6"/>
        <v/>
      </c>
      <c r="C33" s="157">
        <f>IF(D11="","-",+C32+1)</f>
        <v>2026</v>
      </c>
      <c r="D33" s="163">
        <f>IF(F32+SUM(E$17:E32)=D$10,F32,D$10-SUM(E$17:E32))</f>
        <v>63992.130762985224</v>
      </c>
      <c r="E33" s="164">
        <f>IF(+I14&lt;F32,I14,D33)</f>
        <v>2299.1904761904761</v>
      </c>
      <c r="F33" s="163">
        <f t="shared" si="12"/>
        <v>61692.94028679475</v>
      </c>
      <c r="G33" s="165">
        <f t="shared" si="13"/>
        <v>9086.4845060120279</v>
      </c>
      <c r="H33" s="147">
        <f t="shared" si="14"/>
        <v>9086.4845060120279</v>
      </c>
      <c r="I33" s="160">
        <f t="shared" si="0"/>
        <v>0</v>
      </c>
      <c r="J33" s="160"/>
      <c r="K33" s="335"/>
      <c r="L33" s="162">
        <f t="shared" si="2"/>
        <v>0</v>
      </c>
      <c r="M33" s="335"/>
      <c r="N33" s="162">
        <f t="shared" si="4"/>
        <v>0</v>
      </c>
      <c r="O33" s="162">
        <f t="shared" si="5"/>
        <v>0</v>
      </c>
      <c r="P33" s="4"/>
    </row>
    <row r="34" spans="2:16">
      <c r="B34" s="9" t="str">
        <f t="shared" si="6"/>
        <v/>
      </c>
      <c r="C34" s="157">
        <f>IF(D11="","-",+C33+1)</f>
        <v>2027</v>
      </c>
      <c r="D34" s="163">
        <f>IF(F33+SUM(E$17:E33)=D$10,F33,D$10-SUM(E$17:E33))</f>
        <v>61692.94028679475</v>
      </c>
      <c r="E34" s="164">
        <f>IF(+I14&lt;F33,I14,D34)</f>
        <v>2299.1904761904761</v>
      </c>
      <c r="F34" s="163">
        <f t="shared" si="12"/>
        <v>59393.749810604277</v>
      </c>
      <c r="G34" s="165">
        <f t="shared" si="13"/>
        <v>8838.1609515575856</v>
      </c>
      <c r="H34" s="147">
        <f t="shared" si="14"/>
        <v>8838.1609515575856</v>
      </c>
      <c r="I34" s="160">
        <f t="shared" si="0"/>
        <v>0</v>
      </c>
      <c r="J34" s="160"/>
      <c r="K34" s="335"/>
      <c r="L34" s="162">
        <f t="shared" si="2"/>
        <v>0</v>
      </c>
      <c r="M34" s="335"/>
      <c r="N34" s="162">
        <f t="shared" si="4"/>
        <v>0</v>
      </c>
      <c r="O34" s="162">
        <f t="shared" si="5"/>
        <v>0</v>
      </c>
      <c r="P34" s="4"/>
    </row>
    <row r="35" spans="2:16">
      <c r="B35" s="9" t="str">
        <f t="shared" si="6"/>
        <v/>
      </c>
      <c r="C35" s="157">
        <f>IF(D11="","-",+C34+1)</f>
        <v>2028</v>
      </c>
      <c r="D35" s="163">
        <f>IF(F34+SUM(E$17:E34)=D$10,F34,D$10-SUM(E$17:E34))</f>
        <v>59393.749810604277</v>
      </c>
      <c r="E35" s="164">
        <f>IF(+I14&lt;F34,I14,D35)</f>
        <v>2299.1904761904761</v>
      </c>
      <c r="F35" s="163">
        <f t="shared" si="12"/>
        <v>57094.559334413803</v>
      </c>
      <c r="G35" s="165">
        <f t="shared" si="13"/>
        <v>8589.8373971031433</v>
      </c>
      <c r="H35" s="147">
        <f t="shared" si="14"/>
        <v>8589.8373971031433</v>
      </c>
      <c r="I35" s="160">
        <f t="shared" si="0"/>
        <v>0</v>
      </c>
      <c r="J35" s="160"/>
      <c r="K35" s="335"/>
      <c r="L35" s="162">
        <f t="shared" si="2"/>
        <v>0</v>
      </c>
      <c r="M35" s="335"/>
      <c r="N35" s="162">
        <f t="shared" si="4"/>
        <v>0</v>
      </c>
      <c r="O35" s="162">
        <f t="shared" si="5"/>
        <v>0</v>
      </c>
      <c r="P35" s="4"/>
    </row>
    <row r="36" spans="2:16">
      <c r="B36" s="9" t="str">
        <f t="shared" si="6"/>
        <v/>
      </c>
      <c r="C36" s="157">
        <f>IF(D11="","-",+C35+1)</f>
        <v>2029</v>
      </c>
      <c r="D36" s="163">
        <f>IF(F35+SUM(E$17:E35)=D$10,F35,D$10-SUM(E$17:E35))</f>
        <v>57094.559334413803</v>
      </c>
      <c r="E36" s="164">
        <f>IF(+I14&lt;F35,I14,D36)</f>
        <v>2299.1904761904761</v>
      </c>
      <c r="F36" s="163">
        <f t="shared" si="12"/>
        <v>54795.36885822333</v>
      </c>
      <c r="G36" s="165">
        <f t="shared" si="13"/>
        <v>8341.5138426487028</v>
      </c>
      <c r="H36" s="147">
        <f t="shared" si="14"/>
        <v>8341.5138426487028</v>
      </c>
      <c r="I36" s="160">
        <f t="shared" si="0"/>
        <v>0</v>
      </c>
      <c r="J36" s="160"/>
      <c r="K36" s="335"/>
      <c r="L36" s="162">
        <f t="shared" si="2"/>
        <v>0</v>
      </c>
      <c r="M36" s="335"/>
      <c r="N36" s="162">
        <f t="shared" si="4"/>
        <v>0</v>
      </c>
      <c r="O36" s="162">
        <f t="shared" si="5"/>
        <v>0</v>
      </c>
      <c r="P36" s="4"/>
    </row>
    <row r="37" spans="2:16">
      <c r="B37" s="9" t="str">
        <f t="shared" si="6"/>
        <v/>
      </c>
      <c r="C37" s="157">
        <f>IF(D11="","-",+C36+1)</f>
        <v>2030</v>
      </c>
      <c r="D37" s="163">
        <f>IF(F36+SUM(E$17:E36)=D$10,F36,D$10-SUM(E$17:E36))</f>
        <v>54795.36885822333</v>
      </c>
      <c r="E37" s="164">
        <f>IF(+I14&lt;F36,I14,D37)</f>
        <v>2299.1904761904761</v>
      </c>
      <c r="F37" s="163">
        <f t="shared" si="12"/>
        <v>52496.178382032856</v>
      </c>
      <c r="G37" s="165">
        <f t="shared" si="13"/>
        <v>8093.1902881942624</v>
      </c>
      <c r="H37" s="147">
        <f t="shared" si="14"/>
        <v>8093.1902881942624</v>
      </c>
      <c r="I37" s="160">
        <f t="shared" si="0"/>
        <v>0</v>
      </c>
      <c r="J37" s="160"/>
      <c r="K37" s="335"/>
      <c r="L37" s="162">
        <f t="shared" si="2"/>
        <v>0</v>
      </c>
      <c r="M37" s="335"/>
      <c r="N37" s="162">
        <f t="shared" si="4"/>
        <v>0</v>
      </c>
      <c r="O37" s="162">
        <f t="shared" si="5"/>
        <v>0</v>
      </c>
      <c r="P37" s="4"/>
    </row>
    <row r="38" spans="2:16">
      <c r="B38" s="9" t="str">
        <f t="shared" si="6"/>
        <v/>
      </c>
      <c r="C38" s="157">
        <f>IF(D11="","-",+C37+1)</f>
        <v>2031</v>
      </c>
      <c r="D38" s="163">
        <f>IF(F37+SUM(E$17:E37)=D$10,F37,D$10-SUM(E$17:E37))</f>
        <v>52496.178382032856</v>
      </c>
      <c r="E38" s="164">
        <f>IF(+I14&lt;F37,I14,D38)</f>
        <v>2299.1904761904761</v>
      </c>
      <c r="F38" s="163">
        <f t="shared" si="12"/>
        <v>50196.987905842383</v>
      </c>
      <c r="G38" s="165">
        <f t="shared" si="13"/>
        <v>7844.866733739821</v>
      </c>
      <c r="H38" s="147">
        <f t="shared" si="14"/>
        <v>7844.866733739821</v>
      </c>
      <c r="I38" s="160">
        <f t="shared" si="0"/>
        <v>0</v>
      </c>
      <c r="J38" s="160"/>
      <c r="K38" s="335"/>
      <c r="L38" s="162">
        <f t="shared" si="2"/>
        <v>0</v>
      </c>
      <c r="M38" s="335"/>
      <c r="N38" s="162">
        <f t="shared" si="4"/>
        <v>0</v>
      </c>
      <c r="O38" s="162">
        <f t="shared" si="5"/>
        <v>0</v>
      </c>
      <c r="P38" s="4"/>
    </row>
    <row r="39" spans="2:16">
      <c r="B39" s="9" t="str">
        <f t="shared" si="6"/>
        <v/>
      </c>
      <c r="C39" s="157">
        <f>IF(D11="","-",+C38+1)</f>
        <v>2032</v>
      </c>
      <c r="D39" s="163">
        <f>IF(F38+SUM(E$17:E38)=D$10,F38,D$10-SUM(E$17:E38))</f>
        <v>50196.987905842383</v>
      </c>
      <c r="E39" s="164">
        <f>IF(+I14&lt;F38,I14,D39)</f>
        <v>2299.1904761904761</v>
      </c>
      <c r="F39" s="163">
        <f t="shared" si="12"/>
        <v>47897.79742965191</v>
      </c>
      <c r="G39" s="165">
        <f t="shared" si="13"/>
        <v>7596.5431792853797</v>
      </c>
      <c r="H39" s="147">
        <f t="shared" si="14"/>
        <v>7596.5431792853797</v>
      </c>
      <c r="I39" s="160">
        <f t="shared" si="0"/>
        <v>0</v>
      </c>
      <c r="J39" s="160"/>
      <c r="K39" s="335"/>
      <c r="L39" s="162">
        <f t="shared" si="2"/>
        <v>0</v>
      </c>
      <c r="M39" s="335"/>
      <c r="N39" s="162">
        <f t="shared" si="4"/>
        <v>0</v>
      </c>
      <c r="O39" s="162">
        <f t="shared" si="5"/>
        <v>0</v>
      </c>
      <c r="P39" s="4"/>
    </row>
    <row r="40" spans="2:16">
      <c r="B40" s="9" t="str">
        <f t="shared" si="6"/>
        <v/>
      </c>
      <c r="C40" s="157">
        <f>IF(D11="","-",+C39+1)</f>
        <v>2033</v>
      </c>
      <c r="D40" s="163">
        <f>IF(F39+SUM(E$17:E39)=D$10,F39,D$10-SUM(E$17:E39))</f>
        <v>47897.79742965191</v>
      </c>
      <c r="E40" s="164">
        <f>IF(+I14&lt;F39,I14,D40)</f>
        <v>2299.1904761904761</v>
      </c>
      <c r="F40" s="163">
        <f t="shared" si="12"/>
        <v>45598.606953461436</v>
      </c>
      <c r="G40" s="165">
        <f t="shared" si="13"/>
        <v>7348.2196248309392</v>
      </c>
      <c r="H40" s="147">
        <f t="shared" si="14"/>
        <v>7348.2196248309392</v>
      </c>
      <c r="I40" s="160">
        <f t="shared" si="0"/>
        <v>0</v>
      </c>
      <c r="J40" s="160"/>
      <c r="K40" s="335"/>
      <c r="L40" s="162">
        <f t="shared" si="2"/>
        <v>0</v>
      </c>
      <c r="M40" s="335"/>
      <c r="N40" s="162">
        <f t="shared" si="4"/>
        <v>0</v>
      </c>
      <c r="O40" s="162">
        <f t="shared" si="5"/>
        <v>0</v>
      </c>
      <c r="P40" s="4"/>
    </row>
    <row r="41" spans="2:16">
      <c r="B41" s="9" t="str">
        <f t="shared" si="6"/>
        <v/>
      </c>
      <c r="C41" s="157">
        <f>IF(D11="","-",+C40+1)</f>
        <v>2034</v>
      </c>
      <c r="D41" s="163">
        <f>IF(F40+SUM(E$17:E40)=D$10,F40,D$10-SUM(E$17:E40))</f>
        <v>45598.606953461436</v>
      </c>
      <c r="E41" s="164">
        <f>IF(+I14&lt;F40,I14,D41)</f>
        <v>2299.1904761904761</v>
      </c>
      <c r="F41" s="163">
        <f t="shared" si="12"/>
        <v>43299.416477270963</v>
      </c>
      <c r="G41" s="165">
        <f t="shared" si="13"/>
        <v>7099.8960703764978</v>
      </c>
      <c r="H41" s="147">
        <f t="shared" si="14"/>
        <v>7099.8960703764978</v>
      </c>
      <c r="I41" s="160">
        <f t="shared" si="0"/>
        <v>0</v>
      </c>
      <c r="J41" s="160"/>
      <c r="K41" s="335"/>
      <c r="L41" s="162">
        <f t="shared" si="2"/>
        <v>0</v>
      </c>
      <c r="M41" s="335"/>
      <c r="N41" s="162">
        <f t="shared" si="4"/>
        <v>0</v>
      </c>
      <c r="O41" s="162">
        <f t="shared" si="5"/>
        <v>0</v>
      </c>
      <c r="P41" s="4"/>
    </row>
    <row r="42" spans="2:16">
      <c r="B42" s="9" t="str">
        <f t="shared" si="6"/>
        <v/>
      </c>
      <c r="C42" s="157">
        <f>IF(D11="","-",+C41+1)</f>
        <v>2035</v>
      </c>
      <c r="D42" s="163">
        <f>IF(F41+SUM(E$17:E41)=D$10,F41,D$10-SUM(E$17:E41))</f>
        <v>43299.416477270963</v>
      </c>
      <c r="E42" s="164">
        <f>IF(+I14&lt;F41,I14,D42)</f>
        <v>2299.1904761904761</v>
      </c>
      <c r="F42" s="163">
        <f t="shared" si="12"/>
        <v>41000.226001080489</v>
      </c>
      <c r="G42" s="165">
        <f t="shared" si="13"/>
        <v>6851.5725159220565</v>
      </c>
      <c r="H42" s="147">
        <f t="shared" si="14"/>
        <v>6851.5725159220565</v>
      </c>
      <c r="I42" s="160">
        <f t="shared" si="0"/>
        <v>0</v>
      </c>
      <c r="J42" s="160"/>
      <c r="K42" s="335"/>
      <c r="L42" s="162">
        <f t="shared" si="2"/>
        <v>0</v>
      </c>
      <c r="M42" s="335"/>
      <c r="N42" s="162">
        <f t="shared" si="4"/>
        <v>0</v>
      </c>
      <c r="O42" s="162">
        <f t="shared" si="5"/>
        <v>0</v>
      </c>
      <c r="P42" s="4"/>
    </row>
    <row r="43" spans="2:16">
      <c r="B43" s="9" t="str">
        <f t="shared" si="6"/>
        <v/>
      </c>
      <c r="C43" s="157">
        <f>IF(D11="","-",+C42+1)</f>
        <v>2036</v>
      </c>
      <c r="D43" s="163">
        <f>IF(F42+SUM(E$17:E42)=D$10,F42,D$10-SUM(E$17:E42))</f>
        <v>41000.226001080489</v>
      </c>
      <c r="E43" s="164">
        <f>IF(+I14&lt;F42,I14,D43)</f>
        <v>2299.1904761904761</v>
      </c>
      <c r="F43" s="163">
        <f t="shared" si="12"/>
        <v>38701.035524890016</v>
      </c>
      <c r="G43" s="165">
        <f t="shared" si="13"/>
        <v>6603.248961467616</v>
      </c>
      <c r="H43" s="147">
        <f t="shared" si="14"/>
        <v>6603.248961467616</v>
      </c>
      <c r="I43" s="160">
        <f t="shared" si="0"/>
        <v>0</v>
      </c>
      <c r="J43" s="160"/>
      <c r="K43" s="335"/>
      <c r="L43" s="162">
        <f t="shared" si="2"/>
        <v>0</v>
      </c>
      <c r="M43" s="335"/>
      <c r="N43" s="162">
        <f t="shared" si="4"/>
        <v>0</v>
      </c>
      <c r="O43" s="162">
        <f t="shared" si="5"/>
        <v>0</v>
      </c>
      <c r="P43" s="4"/>
    </row>
    <row r="44" spans="2:16">
      <c r="B44" s="9" t="str">
        <f t="shared" si="6"/>
        <v/>
      </c>
      <c r="C44" s="157">
        <f>IF(D11="","-",+C43+1)</f>
        <v>2037</v>
      </c>
      <c r="D44" s="163">
        <f>IF(F43+SUM(E$17:E43)=D$10,F43,D$10-SUM(E$17:E43))</f>
        <v>38701.035524890016</v>
      </c>
      <c r="E44" s="164">
        <f>IF(+I14&lt;F43,I14,D44)</f>
        <v>2299.1904761904761</v>
      </c>
      <c r="F44" s="163">
        <f t="shared" si="12"/>
        <v>36401.845048699543</v>
      </c>
      <c r="G44" s="165">
        <f t="shared" si="13"/>
        <v>6354.9254070131747</v>
      </c>
      <c r="H44" s="147">
        <f t="shared" si="14"/>
        <v>6354.9254070131747</v>
      </c>
      <c r="I44" s="160">
        <f t="shared" si="0"/>
        <v>0</v>
      </c>
      <c r="J44" s="160"/>
      <c r="K44" s="335"/>
      <c r="L44" s="162">
        <f t="shared" si="2"/>
        <v>0</v>
      </c>
      <c r="M44" s="335"/>
      <c r="N44" s="162">
        <f t="shared" si="4"/>
        <v>0</v>
      </c>
      <c r="O44" s="162">
        <f t="shared" si="5"/>
        <v>0</v>
      </c>
      <c r="P44" s="4"/>
    </row>
    <row r="45" spans="2:16">
      <c r="B45" s="9" t="str">
        <f t="shared" si="6"/>
        <v/>
      </c>
      <c r="C45" s="157">
        <f>IF(D11="","-",+C44+1)</f>
        <v>2038</v>
      </c>
      <c r="D45" s="163">
        <f>IF(F44+SUM(E$17:E44)=D$10,F44,D$10-SUM(E$17:E44))</f>
        <v>36401.845048699543</v>
      </c>
      <c r="E45" s="164">
        <f>IF(+I14&lt;F44,I14,D45)</f>
        <v>2299.1904761904761</v>
      </c>
      <c r="F45" s="163">
        <f t="shared" si="12"/>
        <v>34102.654572509069</v>
      </c>
      <c r="G45" s="165">
        <f t="shared" si="13"/>
        <v>6106.6018525587333</v>
      </c>
      <c r="H45" s="147">
        <f t="shared" si="14"/>
        <v>6106.6018525587333</v>
      </c>
      <c r="I45" s="160">
        <f t="shared" si="0"/>
        <v>0</v>
      </c>
      <c r="J45" s="160"/>
      <c r="K45" s="335"/>
      <c r="L45" s="162">
        <f t="shared" si="2"/>
        <v>0</v>
      </c>
      <c r="M45" s="335"/>
      <c r="N45" s="162">
        <f t="shared" si="4"/>
        <v>0</v>
      </c>
      <c r="O45" s="162">
        <f t="shared" si="5"/>
        <v>0</v>
      </c>
      <c r="P45" s="4"/>
    </row>
    <row r="46" spans="2:16">
      <c r="B46" s="9" t="str">
        <f t="shared" si="6"/>
        <v/>
      </c>
      <c r="C46" s="157">
        <f>IF(D11="","-",+C45+1)</f>
        <v>2039</v>
      </c>
      <c r="D46" s="163">
        <f>IF(F45+SUM(E$17:E45)=D$10,F45,D$10-SUM(E$17:E45))</f>
        <v>34102.654572509069</v>
      </c>
      <c r="E46" s="164">
        <f>IF(+I14&lt;F45,I14,D46)</f>
        <v>2299.1904761904761</v>
      </c>
      <c r="F46" s="163">
        <f t="shared" si="12"/>
        <v>31803.464096318592</v>
      </c>
      <c r="G46" s="165">
        <f t="shared" si="13"/>
        <v>5858.2782981042928</v>
      </c>
      <c r="H46" s="147">
        <f t="shared" si="14"/>
        <v>5858.2782981042928</v>
      </c>
      <c r="I46" s="160">
        <f t="shared" si="0"/>
        <v>0</v>
      </c>
      <c r="J46" s="160"/>
      <c r="K46" s="335"/>
      <c r="L46" s="162">
        <f t="shared" si="2"/>
        <v>0</v>
      </c>
      <c r="M46" s="335"/>
      <c r="N46" s="162">
        <f t="shared" si="4"/>
        <v>0</v>
      </c>
      <c r="O46" s="162">
        <f t="shared" si="5"/>
        <v>0</v>
      </c>
      <c r="P46" s="4"/>
    </row>
    <row r="47" spans="2:16">
      <c r="B47" s="9" t="str">
        <f t="shared" si="6"/>
        <v/>
      </c>
      <c r="C47" s="157">
        <f>IF(D11="","-",+C46+1)</f>
        <v>2040</v>
      </c>
      <c r="D47" s="163">
        <f>IF(F46+SUM(E$17:E46)=D$10,F46,D$10-SUM(E$17:E46))</f>
        <v>31803.464096318592</v>
      </c>
      <c r="E47" s="164">
        <f>IF(+I14&lt;F46,I14,D47)</f>
        <v>2299.1904761904761</v>
      </c>
      <c r="F47" s="163">
        <f t="shared" si="12"/>
        <v>29504.273620128115</v>
      </c>
      <c r="G47" s="165">
        <f t="shared" si="13"/>
        <v>5609.9547436498506</v>
      </c>
      <c r="H47" s="147">
        <f t="shared" si="14"/>
        <v>5609.9547436498506</v>
      </c>
      <c r="I47" s="160">
        <f t="shared" si="0"/>
        <v>0</v>
      </c>
      <c r="J47" s="160"/>
      <c r="K47" s="335"/>
      <c r="L47" s="162">
        <f t="shared" si="2"/>
        <v>0</v>
      </c>
      <c r="M47" s="335"/>
      <c r="N47" s="162">
        <f t="shared" si="4"/>
        <v>0</v>
      </c>
      <c r="O47" s="162">
        <f t="shared" si="5"/>
        <v>0</v>
      </c>
      <c r="P47" s="4"/>
    </row>
    <row r="48" spans="2:16">
      <c r="B48" s="9" t="str">
        <f t="shared" si="6"/>
        <v/>
      </c>
      <c r="C48" s="157">
        <f>IF(D11="","-",+C47+1)</f>
        <v>2041</v>
      </c>
      <c r="D48" s="163">
        <f>IF(F47+SUM(E$17:E47)=D$10,F47,D$10-SUM(E$17:E47))</f>
        <v>29504.273620128115</v>
      </c>
      <c r="E48" s="164">
        <f>IF(+I14&lt;F47,I14,D48)</f>
        <v>2299.1904761904761</v>
      </c>
      <c r="F48" s="163">
        <f t="shared" si="12"/>
        <v>27205.083143937638</v>
      </c>
      <c r="G48" s="165">
        <f t="shared" si="13"/>
        <v>5361.6311891954092</v>
      </c>
      <c r="H48" s="147">
        <f t="shared" si="14"/>
        <v>5361.6311891954092</v>
      </c>
      <c r="I48" s="160">
        <f t="shared" si="0"/>
        <v>0</v>
      </c>
      <c r="J48" s="160"/>
      <c r="K48" s="335"/>
      <c r="L48" s="162">
        <f t="shared" si="2"/>
        <v>0</v>
      </c>
      <c r="M48" s="335"/>
      <c r="N48" s="162">
        <f t="shared" si="4"/>
        <v>0</v>
      </c>
      <c r="O48" s="162">
        <f t="shared" si="5"/>
        <v>0</v>
      </c>
      <c r="P48" s="4"/>
    </row>
    <row r="49" spans="2:16">
      <c r="B49" s="9" t="str">
        <f t="shared" si="6"/>
        <v/>
      </c>
      <c r="C49" s="157">
        <f>IF(D11="","-",+C48+1)</f>
        <v>2042</v>
      </c>
      <c r="D49" s="163">
        <f>IF(F48+SUM(E$17:E48)=D$10,F48,D$10-SUM(E$17:E48))</f>
        <v>27205.083143937638</v>
      </c>
      <c r="E49" s="164">
        <f>IF(+I14&lt;F48,I14,D49)</f>
        <v>2299.1904761904761</v>
      </c>
      <c r="F49" s="163">
        <f t="shared" ref="F49:F72" si="15">+D49-E49</f>
        <v>24905.892667747161</v>
      </c>
      <c r="G49" s="165">
        <f t="shared" si="13"/>
        <v>5113.3076347409678</v>
      </c>
      <c r="H49" s="147">
        <f t="shared" si="14"/>
        <v>5113.3076347409678</v>
      </c>
      <c r="I49" s="160">
        <f t="shared" ref="I49:I72" si="16">H49-G49</f>
        <v>0</v>
      </c>
      <c r="J49" s="160"/>
      <c r="K49" s="335"/>
      <c r="L49" s="162">
        <f t="shared" ref="L49:L72" si="17">IF(K49&lt;&gt;0,+G49-K49,0)</f>
        <v>0</v>
      </c>
      <c r="M49" s="335"/>
      <c r="N49" s="162">
        <f t="shared" ref="N49:N72" si="18">IF(M49&lt;&gt;0,+H49-M49,0)</f>
        <v>0</v>
      </c>
      <c r="O49" s="162">
        <f t="shared" ref="O49:O72" si="19">+N49-L49</f>
        <v>0</v>
      </c>
      <c r="P49" s="4"/>
    </row>
    <row r="50" spans="2:16">
      <c r="B50" s="9" t="str">
        <f t="shared" si="6"/>
        <v/>
      </c>
      <c r="C50" s="157">
        <f>IF(D11="","-",+C49+1)</f>
        <v>2043</v>
      </c>
      <c r="D50" s="163">
        <f>IF(F49+SUM(E$17:E49)=D$10,F49,D$10-SUM(E$17:E49))</f>
        <v>24905.892667747161</v>
      </c>
      <c r="E50" s="164">
        <f>IF(+I14&lt;F49,I14,D50)</f>
        <v>2299.1904761904761</v>
      </c>
      <c r="F50" s="163">
        <f t="shared" si="15"/>
        <v>22606.702191556684</v>
      </c>
      <c r="G50" s="165">
        <f t="shared" si="13"/>
        <v>4864.9840802865265</v>
      </c>
      <c r="H50" s="147">
        <f t="shared" si="14"/>
        <v>4864.9840802865265</v>
      </c>
      <c r="I50" s="160">
        <f t="shared" si="16"/>
        <v>0</v>
      </c>
      <c r="J50" s="160"/>
      <c r="K50" s="335"/>
      <c r="L50" s="162">
        <f t="shared" si="17"/>
        <v>0</v>
      </c>
      <c r="M50" s="335"/>
      <c r="N50" s="162">
        <f t="shared" si="18"/>
        <v>0</v>
      </c>
      <c r="O50" s="162">
        <f t="shared" si="19"/>
        <v>0</v>
      </c>
      <c r="P50" s="4"/>
    </row>
    <row r="51" spans="2:16">
      <c r="B51" s="9" t="str">
        <f t="shared" si="6"/>
        <v/>
      </c>
      <c r="C51" s="157">
        <f>IF(D11="","-",+C50+1)</f>
        <v>2044</v>
      </c>
      <c r="D51" s="163">
        <f>IF(F50+SUM(E$17:E50)=D$10,F50,D$10-SUM(E$17:E50))</f>
        <v>22606.702191556684</v>
      </c>
      <c r="E51" s="164">
        <f>IF(+I14&lt;F50,I14,D51)</f>
        <v>2299.1904761904761</v>
      </c>
      <c r="F51" s="163">
        <f t="shared" si="15"/>
        <v>20307.511715366207</v>
      </c>
      <c r="G51" s="165">
        <f t="shared" si="13"/>
        <v>4616.6605258320851</v>
      </c>
      <c r="H51" s="147">
        <f t="shared" si="14"/>
        <v>4616.6605258320851</v>
      </c>
      <c r="I51" s="160">
        <f t="shared" si="16"/>
        <v>0</v>
      </c>
      <c r="J51" s="160"/>
      <c r="K51" s="335"/>
      <c r="L51" s="162">
        <f t="shared" si="17"/>
        <v>0</v>
      </c>
      <c r="M51" s="335"/>
      <c r="N51" s="162">
        <f t="shared" si="18"/>
        <v>0</v>
      </c>
      <c r="O51" s="162">
        <f t="shared" si="19"/>
        <v>0</v>
      </c>
      <c r="P51" s="4"/>
    </row>
    <row r="52" spans="2:16">
      <c r="B52" s="9" t="str">
        <f t="shared" si="6"/>
        <v/>
      </c>
      <c r="C52" s="157">
        <f>IF(D11="","-",+C51+1)</f>
        <v>2045</v>
      </c>
      <c r="D52" s="163">
        <f>IF(F51+SUM(E$17:E51)=D$10,F51,D$10-SUM(E$17:E51))</f>
        <v>20307.511715366207</v>
      </c>
      <c r="E52" s="164">
        <f>IF(+I14&lt;F51,I14,D52)</f>
        <v>2299.1904761904761</v>
      </c>
      <c r="F52" s="163">
        <f t="shared" si="15"/>
        <v>18008.32123917573</v>
      </c>
      <c r="G52" s="165">
        <f t="shared" si="13"/>
        <v>4368.3369713776428</v>
      </c>
      <c r="H52" s="147">
        <f t="shared" si="14"/>
        <v>4368.3369713776428</v>
      </c>
      <c r="I52" s="160">
        <f t="shared" si="16"/>
        <v>0</v>
      </c>
      <c r="J52" s="160"/>
      <c r="K52" s="335"/>
      <c r="L52" s="162">
        <f t="shared" si="17"/>
        <v>0</v>
      </c>
      <c r="M52" s="335"/>
      <c r="N52" s="162">
        <f t="shared" si="18"/>
        <v>0</v>
      </c>
      <c r="O52" s="162">
        <f t="shared" si="19"/>
        <v>0</v>
      </c>
      <c r="P52" s="4"/>
    </row>
    <row r="53" spans="2:16">
      <c r="B53" s="9" t="str">
        <f t="shared" si="6"/>
        <v/>
      </c>
      <c r="C53" s="157">
        <f>IF(D11="","-",+C52+1)</f>
        <v>2046</v>
      </c>
      <c r="D53" s="163">
        <f>IF(F52+SUM(E$17:E52)=D$10,F52,D$10-SUM(E$17:E52))</f>
        <v>18008.32123917573</v>
      </c>
      <c r="E53" s="164">
        <f>IF(+I14&lt;F52,I14,D53)</f>
        <v>2299.1904761904761</v>
      </c>
      <c r="F53" s="163">
        <f t="shared" si="15"/>
        <v>15709.130762985253</v>
      </c>
      <c r="G53" s="165">
        <f t="shared" si="13"/>
        <v>4120.0134169232015</v>
      </c>
      <c r="H53" s="147">
        <f t="shared" si="14"/>
        <v>4120.0134169232015</v>
      </c>
      <c r="I53" s="160">
        <f t="shared" si="16"/>
        <v>0</v>
      </c>
      <c r="J53" s="160"/>
      <c r="K53" s="335"/>
      <c r="L53" s="162">
        <f t="shared" si="17"/>
        <v>0</v>
      </c>
      <c r="M53" s="335"/>
      <c r="N53" s="162">
        <f t="shared" si="18"/>
        <v>0</v>
      </c>
      <c r="O53" s="162">
        <f t="shared" si="19"/>
        <v>0</v>
      </c>
      <c r="P53" s="4"/>
    </row>
    <row r="54" spans="2:16">
      <c r="B54" s="9" t="str">
        <f t="shared" si="6"/>
        <v/>
      </c>
      <c r="C54" s="157">
        <f>IF(D11="","-",+C53+1)</f>
        <v>2047</v>
      </c>
      <c r="D54" s="163">
        <f>IF(F53+SUM(E$17:E53)=D$10,F53,D$10-SUM(E$17:E53))</f>
        <v>15709.130762985253</v>
      </c>
      <c r="E54" s="164">
        <f>IF(+I14&lt;F53,I14,D54)</f>
        <v>2299.1904761904761</v>
      </c>
      <c r="F54" s="163">
        <f t="shared" si="15"/>
        <v>13409.940286794776</v>
      </c>
      <c r="G54" s="165">
        <f t="shared" si="13"/>
        <v>3871.6898624687601</v>
      </c>
      <c r="H54" s="147">
        <f t="shared" si="14"/>
        <v>3871.6898624687601</v>
      </c>
      <c r="I54" s="160">
        <f t="shared" si="16"/>
        <v>0</v>
      </c>
      <c r="J54" s="160"/>
      <c r="K54" s="335"/>
      <c r="L54" s="162">
        <f t="shared" si="17"/>
        <v>0</v>
      </c>
      <c r="M54" s="335"/>
      <c r="N54" s="162">
        <f t="shared" si="18"/>
        <v>0</v>
      </c>
      <c r="O54" s="162">
        <f t="shared" si="19"/>
        <v>0</v>
      </c>
      <c r="P54" s="4"/>
    </row>
    <row r="55" spans="2:16">
      <c r="B55" s="9" t="str">
        <f t="shared" si="6"/>
        <v/>
      </c>
      <c r="C55" s="157">
        <f>IF(D11="","-",+C54+1)</f>
        <v>2048</v>
      </c>
      <c r="D55" s="163">
        <f>IF(F54+SUM(E$17:E54)=D$10,F54,D$10-SUM(E$17:E54))</f>
        <v>13409.940286794776</v>
      </c>
      <c r="E55" s="164">
        <f>IF(+I14&lt;F54,I14,D55)</f>
        <v>2299.1904761904761</v>
      </c>
      <c r="F55" s="163">
        <f t="shared" si="15"/>
        <v>11110.749810604299</v>
      </c>
      <c r="G55" s="165">
        <f t="shared" si="13"/>
        <v>3623.3663080143187</v>
      </c>
      <c r="H55" s="147">
        <f t="shared" si="14"/>
        <v>3623.3663080143187</v>
      </c>
      <c r="I55" s="160">
        <f t="shared" si="16"/>
        <v>0</v>
      </c>
      <c r="J55" s="160"/>
      <c r="K55" s="335"/>
      <c r="L55" s="162">
        <f t="shared" si="17"/>
        <v>0</v>
      </c>
      <c r="M55" s="335"/>
      <c r="N55" s="162">
        <f t="shared" si="18"/>
        <v>0</v>
      </c>
      <c r="O55" s="162">
        <f t="shared" si="19"/>
        <v>0</v>
      </c>
      <c r="P55" s="4"/>
    </row>
    <row r="56" spans="2:16">
      <c r="B56" s="9" t="str">
        <f t="shared" si="6"/>
        <v/>
      </c>
      <c r="C56" s="157">
        <f>IF(D11="","-",+C55+1)</f>
        <v>2049</v>
      </c>
      <c r="D56" s="163">
        <f>IF(F55+SUM(E$17:E55)=D$10,F55,D$10-SUM(E$17:E55))</f>
        <v>11110.749810604299</v>
      </c>
      <c r="E56" s="164">
        <f>IF(+I14&lt;F55,I14,D56)</f>
        <v>2299.1904761904761</v>
      </c>
      <c r="F56" s="163">
        <f t="shared" si="15"/>
        <v>8811.5593344138215</v>
      </c>
      <c r="G56" s="165">
        <f t="shared" si="13"/>
        <v>3375.0427535598774</v>
      </c>
      <c r="H56" s="147">
        <f t="shared" si="14"/>
        <v>3375.0427535598774</v>
      </c>
      <c r="I56" s="160">
        <f t="shared" si="16"/>
        <v>0</v>
      </c>
      <c r="J56" s="160"/>
      <c r="K56" s="335"/>
      <c r="L56" s="162">
        <f t="shared" si="17"/>
        <v>0</v>
      </c>
      <c r="M56" s="335"/>
      <c r="N56" s="162">
        <f t="shared" si="18"/>
        <v>0</v>
      </c>
      <c r="O56" s="162">
        <f t="shared" si="19"/>
        <v>0</v>
      </c>
      <c r="P56" s="4"/>
    </row>
    <row r="57" spans="2:16">
      <c r="B57" s="9" t="str">
        <f t="shared" si="6"/>
        <v/>
      </c>
      <c r="C57" s="157">
        <f>IF(D11="","-",+C56+1)</f>
        <v>2050</v>
      </c>
      <c r="D57" s="163">
        <f>IF(F56+SUM(E$17:E56)=D$10,F56,D$10-SUM(E$17:E56))</f>
        <v>8811.5593344138215</v>
      </c>
      <c r="E57" s="164">
        <f>IF(+I14&lt;F56,I14,D57)</f>
        <v>2299.1904761904761</v>
      </c>
      <c r="F57" s="163">
        <f t="shared" si="15"/>
        <v>6512.3688582233453</v>
      </c>
      <c r="G57" s="165">
        <f t="shared" si="13"/>
        <v>3126.7191991054356</v>
      </c>
      <c r="H57" s="147">
        <f t="shared" si="14"/>
        <v>3126.7191991054356</v>
      </c>
      <c r="I57" s="160">
        <f t="shared" si="16"/>
        <v>0</v>
      </c>
      <c r="J57" s="160"/>
      <c r="K57" s="335"/>
      <c r="L57" s="162">
        <f t="shared" si="17"/>
        <v>0</v>
      </c>
      <c r="M57" s="335"/>
      <c r="N57" s="162">
        <f t="shared" si="18"/>
        <v>0</v>
      </c>
      <c r="O57" s="162">
        <f t="shared" si="19"/>
        <v>0</v>
      </c>
      <c r="P57" s="4"/>
    </row>
    <row r="58" spans="2:16">
      <c r="B58" s="9" t="str">
        <f t="shared" si="6"/>
        <v/>
      </c>
      <c r="C58" s="157">
        <f>IF(D11="","-",+C57+1)</f>
        <v>2051</v>
      </c>
      <c r="D58" s="163">
        <f>IF(F57+SUM(E$17:E57)=D$10,F57,D$10-SUM(E$17:E57))</f>
        <v>6512.3688582233453</v>
      </c>
      <c r="E58" s="164">
        <f>IF(+I14&lt;F57,I14,D58)</f>
        <v>2299.1904761904761</v>
      </c>
      <c r="F58" s="163">
        <f t="shared" si="15"/>
        <v>4213.1783820328692</v>
      </c>
      <c r="G58" s="165">
        <f t="shared" si="13"/>
        <v>2878.3956446509947</v>
      </c>
      <c r="H58" s="147">
        <f t="shared" si="14"/>
        <v>2878.3956446509947</v>
      </c>
      <c r="I58" s="160">
        <f t="shared" si="16"/>
        <v>0</v>
      </c>
      <c r="J58" s="160"/>
      <c r="K58" s="335"/>
      <c r="L58" s="162">
        <f t="shared" si="17"/>
        <v>0</v>
      </c>
      <c r="M58" s="335"/>
      <c r="N58" s="162">
        <f t="shared" si="18"/>
        <v>0</v>
      </c>
      <c r="O58" s="162">
        <f t="shared" si="19"/>
        <v>0</v>
      </c>
      <c r="P58" s="4"/>
    </row>
    <row r="59" spans="2:16">
      <c r="B59" s="9" t="str">
        <f t="shared" si="6"/>
        <v/>
      </c>
      <c r="C59" s="157">
        <f>IF(D11="","-",+C58+1)</f>
        <v>2052</v>
      </c>
      <c r="D59" s="163">
        <f>IF(F58+SUM(E$17:E58)=D$10,F58,D$10-SUM(E$17:E58))</f>
        <v>4213.1783820328692</v>
      </c>
      <c r="E59" s="164">
        <f>IF(+I14&lt;F58,I14,D59)</f>
        <v>2299.1904761904761</v>
      </c>
      <c r="F59" s="163">
        <f t="shared" si="15"/>
        <v>1913.987905842393</v>
      </c>
      <c r="G59" s="165">
        <f t="shared" si="13"/>
        <v>2630.0720901965528</v>
      </c>
      <c r="H59" s="147">
        <f t="shared" si="14"/>
        <v>2630.0720901965528</v>
      </c>
      <c r="I59" s="160">
        <f t="shared" si="16"/>
        <v>0</v>
      </c>
      <c r="J59" s="160"/>
      <c r="K59" s="335"/>
      <c r="L59" s="162">
        <f t="shared" si="17"/>
        <v>0</v>
      </c>
      <c r="M59" s="335"/>
      <c r="N59" s="162">
        <f t="shared" si="18"/>
        <v>0</v>
      </c>
      <c r="O59" s="162">
        <f t="shared" si="19"/>
        <v>0</v>
      </c>
      <c r="P59" s="4"/>
    </row>
    <row r="60" spans="2:16">
      <c r="B60" s="9" t="str">
        <f t="shared" si="6"/>
        <v/>
      </c>
      <c r="C60" s="157">
        <f>IF(D11="","-",+C59+1)</f>
        <v>2053</v>
      </c>
      <c r="D60" s="163">
        <f>IF(F59+SUM(E$17:E59)=D$10,F59,D$10-SUM(E$17:E59))</f>
        <v>1913.987905842393</v>
      </c>
      <c r="E60" s="164">
        <f>IF(+I14&lt;F59,I14,D60)</f>
        <v>1913.987905842393</v>
      </c>
      <c r="F60" s="163">
        <f t="shared" si="15"/>
        <v>0</v>
      </c>
      <c r="G60" s="165">
        <f t="shared" si="13"/>
        <v>2017.3478242318211</v>
      </c>
      <c r="H60" s="147">
        <f t="shared" si="14"/>
        <v>2017.3478242318211</v>
      </c>
      <c r="I60" s="160">
        <f t="shared" si="16"/>
        <v>0</v>
      </c>
      <c r="J60" s="160"/>
      <c r="K60" s="335"/>
      <c r="L60" s="162">
        <f t="shared" si="17"/>
        <v>0</v>
      </c>
      <c r="M60" s="335"/>
      <c r="N60" s="162">
        <f t="shared" si="18"/>
        <v>0</v>
      </c>
      <c r="O60" s="162">
        <f t="shared" si="19"/>
        <v>0</v>
      </c>
      <c r="P60" s="4"/>
    </row>
    <row r="61" spans="2:16">
      <c r="B61" s="9" t="str">
        <f t="shared" si="6"/>
        <v/>
      </c>
      <c r="C61" s="157">
        <f>IF(D11="","-",+C60+1)</f>
        <v>2054</v>
      </c>
      <c r="D61" s="163">
        <f>IF(F60+SUM(E$17:E60)=D$10,F60,D$10-SUM(E$17:E60))</f>
        <v>0</v>
      </c>
      <c r="E61" s="164">
        <f>IF(+I14&lt;F60,I14,D61)</f>
        <v>0</v>
      </c>
      <c r="F61" s="163">
        <f t="shared" si="15"/>
        <v>0</v>
      </c>
      <c r="G61" s="165">
        <f t="shared" si="13"/>
        <v>0</v>
      </c>
      <c r="H61" s="147">
        <f t="shared" si="14"/>
        <v>0</v>
      </c>
      <c r="I61" s="160">
        <f t="shared" si="16"/>
        <v>0</v>
      </c>
      <c r="J61" s="160"/>
      <c r="K61" s="335"/>
      <c r="L61" s="162">
        <f t="shared" si="17"/>
        <v>0</v>
      </c>
      <c r="M61" s="335"/>
      <c r="N61" s="162">
        <f t="shared" si="18"/>
        <v>0</v>
      </c>
      <c r="O61" s="162">
        <f t="shared" si="19"/>
        <v>0</v>
      </c>
      <c r="P61" s="4"/>
    </row>
    <row r="62" spans="2:16">
      <c r="B62" s="9" t="str">
        <f t="shared" si="6"/>
        <v/>
      </c>
      <c r="C62" s="157">
        <f>IF(D11="","-",+C61+1)</f>
        <v>2055</v>
      </c>
      <c r="D62" s="163">
        <f>IF(F61+SUM(E$17:E61)=D$10,F61,D$10-SUM(E$17:E61))</f>
        <v>0</v>
      </c>
      <c r="E62" s="164">
        <f>IF(+I14&lt;F61,I14,D62)</f>
        <v>0</v>
      </c>
      <c r="F62" s="163">
        <f t="shared" si="15"/>
        <v>0</v>
      </c>
      <c r="G62" s="165">
        <f t="shared" si="13"/>
        <v>0</v>
      </c>
      <c r="H62" s="147">
        <f t="shared" si="14"/>
        <v>0</v>
      </c>
      <c r="I62" s="160">
        <f t="shared" si="16"/>
        <v>0</v>
      </c>
      <c r="J62" s="160"/>
      <c r="K62" s="335"/>
      <c r="L62" s="162">
        <f t="shared" si="17"/>
        <v>0</v>
      </c>
      <c r="M62" s="335"/>
      <c r="N62" s="162">
        <f t="shared" si="18"/>
        <v>0</v>
      </c>
      <c r="O62" s="162">
        <f t="shared" si="19"/>
        <v>0</v>
      </c>
      <c r="P62" s="4"/>
    </row>
    <row r="63" spans="2:16">
      <c r="B63" s="9" t="str">
        <f t="shared" si="6"/>
        <v/>
      </c>
      <c r="C63" s="157">
        <f>IF(D11="","-",+C62+1)</f>
        <v>2056</v>
      </c>
      <c r="D63" s="163">
        <f>IF(F62+SUM(E$17:E62)=D$10,F62,D$10-SUM(E$17:E62))</f>
        <v>0</v>
      </c>
      <c r="E63" s="164">
        <f>IF(+I14&lt;F62,I14,D63)</f>
        <v>0</v>
      </c>
      <c r="F63" s="163">
        <f t="shared" si="15"/>
        <v>0</v>
      </c>
      <c r="G63" s="165">
        <f t="shared" si="13"/>
        <v>0</v>
      </c>
      <c r="H63" s="147">
        <f t="shared" si="14"/>
        <v>0</v>
      </c>
      <c r="I63" s="160">
        <f t="shared" si="16"/>
        <v>0</v>
      </c>
      <c r="J63" s="160"/>
      <c r="K63" s="335"/>
      <c r="L63" s="162">
        <f t="shared" si="17"/>
        <v>0</v>
      </c>
      <c r="M63" s="335"/>
      <c r="N63" s="162">
        <f t="shared" si="18"/>
        <v>0</v>
      </c>
      <c r="O63" s="162">
        <f t="shared" si="19"/>
        <v>0</v>
      </c>
      <c r="P63" s="4"/>
    </row>
    <row r="64" spans="2:16">
      <c r="B64" s="9" t="str">
        <f t="shared" si="6"/>
        <v/>
      </c>
      <c r="C64" s="157">
        <f>IF(D11="","-",+C63+1)</f>
        <v>2057</v>
      </c>
      <c r="D64" s="163">
        <f>IF(F63+SUM(E$17:E63)=D$10,F63,D$10-SUM(E$17:E63))</f>
        <v>0</v>
      </c>
      <c r="E64" s="164">
        <f>IF(+I14&lt;F63,I14,D64)</f>
        <v>0</v>
      </c>
      <c r="F64" s="163">
        <f t="shared" si="15"/>
        <v>0</v>
      </c>
      <c r="G64" s="165">
        <f t="shared" si="13"/>
        <v>0</v>
      </c>
      <c r="H64" s="147">
        <f t="shared" si="14"/>
        <v>0</v>
      </c>
      <c r="I64" s="160">
        <f t="shared" si="16"/>
        <v>0</v>
      </c>
      <c r="J64" s="160"/>
      <c r="K64" s="335"/>
      <c r="L64" s="162">
        <f t="shared" si="17"/>
        <v>0</v>
      </c>
      <c r="M64" s="335"/>
      <c r="N64" s="162">
        <f t="shared" si="18"/>
        <v>0</v>
      </c>
      <c r="O64" s="162">
        <f t="shared" si="19"/>
        <v>0</v>
      </c>
      <c r="P64" s="4"/>
    </row>
    <row r="65" spans="2:16">
      <c r="B65" s="387" t="str">
        <f t="shared" si="6"/>
        <v/>
      </c>
      <c r="C65" s="157">
        <f>IF(D11="","-",+C64+1)</f>
        <v>2058</v>
      </c>
      <c r="D65" s="163">
        <f>IF(F64+SUM(E$17:E64)=D$10,F64,D$10-SUM(E$17:E64))</f>
        <v>0</v>
      </c>
      <c r="E65" s="164">
        <f>IF(+I14&lt;F64,I14,D65)</f>
        <v>0</v>
      </c>
      <c r="F65" s="163">
        <f t="shared" si="15"/>
        <v>0</v>
      </c>
      <c r="G65" s="165">
        <f t="shared" si="13"/>
        <v>0</v>
      </c>
      <c r="H65" s="147">
        <f t="shared" si="14"/>
        <v>0</v>
      </c>
      <c r="I65" s="160">
        <f t="shared" si="16"/>
        <v>0</v>
      </c>
      <c r="J65" s="160"/>
      <c r="K65" s="335"/>
      <c r="L65" s="162">
        <f t="shared" si="17"/>
        <v>0</v>
      </c>
      <c r="M65" s="335"/>
      <c r="N65" s="162">
        <f t="shared" si="18"/>
        <v>0</v>
      </c>
      <c r="O65" s="162">
        <f t="shared" si="19"/>
        <v>0</v>
      </c>
      <c r="P65" s="4"/>
    </row>
    <row r="66" spans="2:16">
      <c r="B66" s="9" t="str">
        <f t="shared" si="6"/>
        <v/>
      </c>
      <c r="C66" s="157">
        <f>IF(D11="","-",+C65+1)</f>
        <v>2059</v>
      </c>
      <c r="D66" s="163">
        <f>IF(F65+SUM(E$17:E65)=D$10,F65,D$10-SUM(E$17:E65))</f>
        <v>0</v>
      </c>
      <c r="E66" s="164">
        <f>IF(+I14&lt;F65,I14,D66)</f>
        <v>0</v>
      </c>
      <c r="F66" s="163">
        <f t="shared" si="15"/>
        <v>0</v>
      </c>
      <c r="G66" s="165">
        <f t="shared" si="13"/>
        <v>0</v>
      </c>
      <c r="H66" s="147">
        <f t="shared" si="14"/>
        <v>0</v>
      </c>
      <c r="I66" s="160">
        <f t="shared" si="16"/>
        <v>0</v>
      </c>
      <c r="J66" s="160"/>
      <c r="K66" s="335"/>
      <c r="L66" s="162">
        <f t="shared" si="17"/>
        <v>0</v>
      </c>
      <c r="M66" s="335"/>
      <c r="N66" s="162">
        <f t="shared" si="18"/>
        <v>0</v>
      </c>
      <c r="O66" s="162">
        <f t="shared" si="19"/>
        <v>0</v>
      </c>
      <c r="P66" s="4"/>
    </row>
    <row r="67" spans="2:16">
      <c r="B67" s="9" t="str">
        <f t="shared" si="6"/>
        <v/>
      </c>
      <c r="C67" s="157">
        <f>IF(D11="","-",+C66+1)</f>
        <v>2060</v>
      </c>
      <c r="D67" s="163">
        <f>IF(F66+SUM(E$17:E66)=D$10,F66,D$10-SUM(E$17:E66))</f>
        <v>0</v>
      </c>
      <c r="E67" s="164">
        <f>IF(+I14&lt;F66,I14,D67)</f>
        <v>0</v>
      </c>
      <c r="F67" s="163">
        <f t="shared" si="15"/>
        <v>0</v>
      </c>
      <c r="G67" s="165">
        <f t="shared" si="13"/>
        <v>0</v>
      </c>
      <c r="H67" s="147">
        <f t="shared" si="14"/>
        <v>0</v>
      </c>
      <c r="I67" s="160">
        <f t="shared" si="16"/>
        <v>0</v>
      </c>
      <c r="J67" s="160"/>
      <c r="K67" s="335"/>
      <c r="L67" s="162">
        <f t="shared" si="17"/>
        <v>0</v>
      </c>
      <c r="M67" s="335"/>
      <c r="N67" s="162">
        <f t="shared" si="18"/>
        <v>0</v>
      </c>
      <c r="O67" s="162">
        <f t="shared" si="19"/>
        <v>0</v>
      </c>
      <c r="P67" s="4"/>
    </row>
    <row r="68" spans="2:16">
      <c r="B68" s="9" t="str">
        <f t="shared" si="6"/>
        <v/>
      </c>
      <c r="C68" s="157">
        <f>IF(D11="","-",+C67+1)</f>
        <v>2061</v>
      </c>
      <c r="D68" s="163">
        <f>IF(F67+SUM(E$17:E67)=D$10,F67,D$10-SUM(E$17:E67))</f>
        <v>0</v>
      </c>
      <c r="E68" s="164">
        <f>IF(+I14&lt;F67,I14,D68)</f>
        <v>0</v>
      </c>
      <c r="F68" s="163">
        <f t="shared" si="15"/>
        <v>0</v>
      </c>
      <c r="G68" s="165">
        <f t="shared" si="13"/>
        <v>0</v>
      </c>
      <c r="H68" s="147">
        <f t="shared" si="14"/>
        <v>0</v>
      </c>
      <c r="I68" s="160">
        <f t="shared" si="16"/>
        <v>0</v>
      </c>
      <c r="J68" s="160"/>
      <c r="K68" s="335"/>
      <c r="L68" s="162">
        <f t="shared" si="17"/>
        <v>0</v>
      </c>
      <c r="M68" s="335"/>
      <c r="N68" s="162">
        <f t="shared" si="18"/>
        <v>0</v>
      </c>
      <c r="O68" s="162">
        <f t="shared" si="19"/>
        <v>0</v>
      </c>
      <c r="P68" s="4"/>
    </row>
    <row r="69" spans="2:16">
      <c r="B69" s="9" t="str">
        <f t="shared" si="6"/>
        <v/>
      </c>
      <c r="C69" s="157">
        <f>IF(D11="","-",+C68+1)</f>
        <v>2062</v>
      </c>
      <c r="D69" s="163">
        <f>IF(F68+SUM(E$17:E68)=D$10,F68,D$10-SUM(E$17:E68))</f>
        <v>0</v>
      </c>
      <c r="E69" s="164">
        <f>IF(+I14&lt;F68,I14,D69)</f>
        <v>0</v>
      </c>
      <c r="F69" s="163">
        <f t="shared" si="15"/>
        <v>0</v>
      </c>
      <c r="G69" s="165">
        <f t="shared" si="13"/>
        <v>0</v>
      </c>
      <c r="H69" s="147">
        <f t="shared" si="14"/>
        <v>0</v>
      </c>
      <c r="I69" s="160">
        <f t="shared" si="16"/>
        <v>0</v>
      </c>
      <c r="J69" s="160"/>
      <c r="K69" s="335"/>
      <c r="L69" s="162">
        <f t="shared" si="17"/>
        <v>0</v>
      </c>
      <c r="M69" s="335"/>
      <c r="N69" s="162">
        <f t="shared" si="18"/>
        <v>0</v>
      </c>
      <c r="O69" s="162">
        <f t="shared" si="19"/>
        <v>0</v>
      </c>
      <c r="P69" s="4"/>
    </row>
    <row r="70" spans="2:16">
      <c r="B70" s="9" t="str">
        <f t="shared" si="6"/>
        <v/>
      </c>
      <c r="C70" s="157">
        <f>IF(D11="","-",+C69+1)</f>
        <v>2063</v>
      </c>
      <c r="D70" s="163">
        <f>IF(F69+SUM(E$17:E69)=D$10,F69,D$10-SUM(E$17:E69))</f>
        <v>0</v>
      </c>
      <c r="E70" s="164">
        <f>IF(+I14&lt;F69,I14,D70)</f>
        <v>0</v>
      </c>
      <c r="F70" s="163">
        <f t="shared" si="15"/>
        <v>0</v>
      </c>
      <c r="G70" s="165">
        <f t="shared" si="13"/>
        <v>0</v>
      </c>
      <c r="H70" s="147">
        <f t="shared" si="14"/>
        <v>0</v>
      </c>
      <c r="I70" s="160">
        <f t="shared" si="16"/>
        <v>0</v>
      </c>
      <c r="J70" s="160"/>
      <c r="K70" s="335"/>
      <c r="L70" s="162">
        <f t="shared" si="17"/>
        <v>0</v>
      </c>
      <c r="M70" s="335"/>
      <c r="N70" s="162">
        <f t="shared" si="18"/>
        <v>0</v>
      </c>
      <c r="O70" s="162">
        <f t="shared" si="19"/>
        <v>0</v>
      </c>
      <c r="P70" s="4"/>
    </row>
    <row r="71" spans="2:16">
      <c r="B71" s="9" t="str">
        <f t="shared" si="6"/>
        <v/>
      </c>
      <c r="C71" s="157">
        <f>IF(D11="","-",+C70+1)</f>
        <v>2064</v>
      </c>
      <c r="D71" s="163">
        <f>IF(F70+SUM(E$17:E70)=D$10,F70,D$10-SUM(E$17:E70))</f>
        <v>0</v>
      </c>
      <c r="E71" s="164">
        <f>IF(+I14&lt;F70,I14,D71)</f>
        <v>0</v>
      </c>
      <c r="F71" s="163">
        <f t="shared" si="15"/>
        <v>0</v>
      </c>
      <c r="G71" s="165">
        <f t="shared" si="13"/>
        <v>0</v>
      </c>
      <c r="H71" s="147">
        <f t="shared" si="14"/>
        <v>0</v>
      </c>
      <c r="I71" s="160">
        <f t="shared" si="16"/>
        <v>0</v>
      </c>
      <c r="J71" s="160"/>
      <c r="K71" s="335"/>
      <c r="L71" s="162">
        <f t="shared" si="17"/>
        <v>0</v>
      </c>
      <c r="M71" s="335"/>
      <c r="N71" s="162">
        <f t="shared" si="18"/>
        <v>0</v>
      </c>
      <c r="O71" s="162">
        <f t="shared" si="19"/>
        <v>0</v>
      </c>
      <c r="P71" s="4"/>
    </row>
    <row r="72" spans="2:16" ht="13.5" thickBot="1">
      <c r="B72" s="9" t="str">
        <f t="shared" si="6"/>
        <v/>
      </c>
      <c r="C72" s="168">
        <f>IF(D11="","-",+C71+1)</f>
        <v>2065</v>
      </c>
      <c r="D72" s="169">
        <f>IF(F71+SUM(E$17:E71)=D$10,F71,D$10-SUM(E$17:E71))</f>
        <v>0</v>
      </c>
      <c r="E72" s="170">
        <f>IF(+I14&lt;F71,I14,D72)</f>
        <v>0</v>
      </c>
      <c r="F72" s="169">
        <f t="shared" si="15"/>
        <v>0</v>
      </c>
      <c r="G72" s="169">
        <f t="shared" si="13"/>
        <v>0</v>
      </c>
      <c r="H72" s="169">
        <f t="shared" si="14"/>
        <v>0</v>
      </c>
      <c r="I72" s="172">
        <f t="shared" si="16"/>
        <v>0</v>
      </c>
      <c r="J72" s="160"/>
      <c r="K72" s="336"/>
      <c r="L72" s="173">
        <f t="shared" si="17"/>
        <v>0</v>
      </c>
      <c r="M72" s="336"/>
      <c r="N72" s="173">
        <f t="shared" si="18"/>
        <v>0</v>
      </c>
      <c r="O72" s="173">
        <f t="shared" si="19"/>
        <v>0</v>
      </c>
      <c r="P72" s="4"/>
    </row>
    <row r="73" spans="2:16">
      <c r="C73" s="158" t="s">
        <v>72</v>
      </c>
      <c r="D73" s="115"/>
      <c r="E73" s="115">
        <f>SUM(E17:E72)</f>
        <v>96565.999999999956</v>
      </c>
      <c r="F73" s="115"/>
      <c r="G73" s="115">
        <f>SUM(G17:G72)</f>
        <v>365058.28993253497</v>
      </c>
      <c r="H73" s="115">
        <f>SUM(H17:H72)</f>
        <v>365058.28993253497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10 of 28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2018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12963.911111111111</v>
      </c>
      <c r="N87" s="202">
        <f>IF(J92&lt;D11,0,VLOOKUP(J92,C17:O72,11))</f>
        <v>12963.911111111111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10568.967843132519</v>
      </c>
      <c r="N88" s="204">
        <f>IF(J92&lt;D11,0,VLOOKUP(J92,C99:P154,7))</f>
        <v>10568.967843132519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Wavetrap Clinton City-Foss Tap 69kV Ckt 1*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-2394.9432679785914</v>
      </c>
      <c r="N89" s="207">
        <f>+N88-N87</f>
        <v>-2394.9432679785914</v>
      </c>
      <c r="O89" s="208">
        <f>+O88-O87</f>
        <v>0</v>
      </c>
      <c r="P89" s="1"/>
    </row>
    <row r="90" spans="1:16" ht="13.5" thickBot="1">
      <c r="C90" s="174"/>
      <c r="D90" s="177" t="str">
        <f>D8</f>
        <v>DOES NOT MEET SPP $100,000 MINIMUM INVESTMENT FOR REGIONAL BPU SHARING.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 t="str">
        <f>+D9</f>
        <v>TP2009011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138">
        <v>96566</v>
      </c>
      <c r="E92" s="22" t="s">
        <v>89</v>
      </c>
      <c r="H92" s="139"/>
      <c r="I92" s="139"/>
      <c r="J92" s="140">
        <f>+'PSO.WS.G.BPU.ATRR.True-up'!M16</f>
        <v>2018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2010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6</v>
      </c>
      <c r="E94" s="141" t="s">
        <v>51</v>
      </c>
      <c r="F94" s="139"/>
      <c r="G94" s="139"/>
      <c r="J94" s="145">
        <f>'PSO.WS.G.BPU.ATRR.True-up'!$F$81</f>
        <v>0.10273556682691798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43</v>
      </c>
      <c r="E95" s="141" t="s">
        <v>54</v>
      </c>
      <c r="F95" s="139"/>
      <c r="G95" s="139"/>
      <c r="J95" s="145">
        <f>IF(H87="",J94,'PSO.WS.G.BPU.ATRR.True-up'!$F$80)</f>
        <v>0.10273556682691798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2246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277</v>
      </c>
      <c r="I97" s="339" t="s">
        <v>278</v>
      </c>
      <c r="J97" s="214" t="s">
        <v>93</v>
      </c>
      <c r="K97" s="216"/>
      <c r="L97" s="151" t="s">
        <v>97</v>
      </c>
      <c r="M97" s="151" t="s">
        <v>94</v>
      </c>
      <c r="N97" s="151" t="s">
        <v>97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2010</v>
      </c>
      <c r="D99" s="366">
        <v>0</v>
      </c>
      <c r="E99" s="368">
        <v>946.5</v>
      </c>
      <c r="F99" s="371">
        <v>95619.5</v>
      </c>
      <c r="G99" s="373">
        <v>47809.75</v>
      </c>
      <c r="H99" s="374">
        <v>8635.0355480484341</v>
      </c>
      <c r="I99" s="375">
        <v>8635.0355480484341</v>
      </c>
      <c r="J99" s="162">
        <f t="shared" ref="J99:J130" si="20">+I99-H99</f>
        <v>0</v>
      </c>
      <c r="K99" s="162"/>
      <c r="L99" s="384">
        <f t="shared" ref="L99:L104" si="21">H99</f>
        <v>8635.0355480484341</v>
      </c>
      <c r="M99" s="385">
        <f t="shared" ref="M99:M130" si="22">IF(L99&lt;&gt;0,+H99-L99,0)</f>
        <v>0</v>
      </c>
      <c r="N99" s="384">
        <f t="shared" ref="N99:N104" si="23">I99</f>
        <v>8635.0355480484341</v>
      </c>
      <c r="O99" s="161">
        <f t="shared" ref="O99:O130" si="24">IF(N99&lt;&gt;0,+I99-N99,0)</f>
        <v>0</v>
      </c>
      <c r="P99" s="161">
        <f t="shared" ref="P99:P130" si="25">+O99-M99</f>
        <v>0</v>
      </c>
    </row>
    <row r="100" spans="1:16">
      <c r="B100" s="9" t="str">
        <f>IF(D100=F99,"","IU")</f>
        <v/>
      </c>
      <c r="C100" s="157">
        <f>IF(D93="","-",+C99+1)</f>
        <v>2011</v>
      </c>
      <c r="D100" s="366">
        <v>95619.5</v>
      </c>
      <c r="E100" s="368">
        <v>1857</v>
      </c>
      <c r="F100" s="371">
        <v>93762.5</v>
      </c>
      <c r="G100" s="371">
        <v>94691</v>
      </c>
      <c r="H100" s="368">
        <v>15096.07425133265</v>
      </c>
      <c r="I100" s="370">
        <v>15096.07425133265</v>
      </c>
      <c r="J100" s="162">
        <f t="shared" si="20"/>
        <v>0</v>
      </c>
      <c r="K100" s="162"/>
      <c r="L100" s="380">
        <f t="shared" si="21"/>
        <v>15096.07425133265</v>
      </c>
      <c r="M100" s="381">
        <f t="shared" si="22"/>
        <v>0</v>
      </c>
      <c r="N100" s="380">
        <f t="shared" si="23"/>
        <v>15096.07425133265</v>
      </c>
      <c r="O100" s="162">
        <f t="shared" si="24"/>
        <v>0</v>
      </c>
      <c r="P100" s="162">
        <f t="shared" si="25"/>
        <v>0</v>
      </c>
    </row>
    <row r="101" spans="1:16">
      <c r="B101" s="9" t="str">
        <f t="shared" ref="B101:B154" si="26">IF(D101=F100,"","IU")</f>
        <v/>
      </c>
      <c r="C101" s="157">
        <f>IF(D93="","-",+C100+1)</f>
        <v>2012</v>
      </c>
      <c r="D101" s="366">
        <v>93762.5</v>
      </c>
      <c r="E101" s="368">
        <v>1857</v>
      </c>
      <c r="F101" s="371">
        <v>91905.5</v>
      </c>
      <c r="G101" s="371">
        <v>92834</v>
      </c>
      <c r="H101" s="368">
        <v>15211.679797187964</v>
      </c>
      <c r="I101" s="370">
        <v>15211.679797187964</v>
      </c>
      <c r="J101" s="162">
        <v>0</v>
      </c>
      <c r="K101" s="162"/>
      <c r="L101" s="380">
        <f t="shared" si="21"/>
        <v>15211.679797187964</v>
      </c>
      <c r="M101" s="381">
        <f t="shared" ref="M101:M106" si="27">IF(L101&lt;&gt;0,+H101-L101,0)</f>
        <v>0</v>
      </c>
      <c r="N101" s="380">
        <f t="shared" si="23"/>
        <v>15211.679797187964</v>
      </c>
      <c r="O101" s="162">
        <f t="shared" ref="O101:O106" si="28">IF(N101&lt;&gt;0,+I101-N101,0)</f>
        <v>0</v>
      </c>
      <c r="P101" s="162">
        <f t="shared" ref="P101:P106" si="29">+O101-M101</f>
        <v>0</v>
      </c>
    </row>
    <row r="102" spans="1:16">
      <c r="B102" s="9" t="str">
        <f t="shared" si="26"/>
        <v/>
      </c>
      <c r="C102" s="157">
        <f>IF(D93="","-",+C101+1)</f>
        <v>2013</v>
      </c>
      <c r="D102" s="366">
        <v>91905.5</v>
      </c>
      <c r="E102" s="368">
        <v>1857</v>
      </c>
      <c r="F102" s="371">
        <v>90048.5</v>
      </c>
      <c r="G102" s="371">
        <v>90977</v>
      </c>
      <c r="H102" s="368">
        <v>14952.192437840908</v>
      </c>
      <c r="I102" s="370">
        <v>14952.192437840908</v>
      </c>
      <c r="J102" s="162">
        <v>0</v>
      </c>
      <c r="K102" s="162"/>
      <c r="L102" s="380">
        <f t="shared" si="21"/>
        <v>14952.192437840908</v>
      </c>
      <c r="M102" s="381">
        <f t="shared" si="27"/>
        <v>0</v>
      </c>
      <c r="N102" s="380">
        <f t="shared" si="23"/>
        <v>14952.192437840908</v>
      </c>
      <c r="O102" s="162">
        <f t="shared" si="28"/>
        <v>0</v>
      </c>
      <c r="P102" s="162">
        <f t="shared" si="29"/>
        <v>0</v>
      </c>
    </row>
    <row r="103" spans="1:16">
      <c r="B103" s="9" t="str">
        <f t="shared" si="26"/>
        <v/>
      </c>
      <c r="C103" s="157">
        <f>IF(D93="","-",+C102+1)</f>
        <v>2014</v>
      </c>
      <c r="D103" s="366">
        <v>90048.5</v>
      </c>
      <c r="E103" s="368">
        <v>1857</v>
      </c>
      <c r="F103" s="371">
        <v>88191.5</v>
      </c>
      <c r="G103" s="371">
        <v>89120</v>
      </c>
      <c r="H103" s="368">
        <v>14386.907699066522</v>
      </c>
      <c r="I103" s="370">
        <v>14386.907699066522</v>
      </c>
      <c r="J103" s="162">
        <v>0</v>
      </c>
      <c r="K103" s="162"/>
      <c r="L103" s="380">
        <f t="shared" si="21"/>
        <v>14386.907699066522</v>
      </c>
      <c r="M103" s="381">
        <f t="shared" si="27"/>
        <v>0</v>
      </c>
      <c r="N103" s="380">
        <f t="shared" si="23"/>
        <v>14386.907699066522</v>
      </c>
      <c r="O103" s="162">
        <f t="shared" si="28"/>
        <v>0</v>
      </c>
      <c r="P103" s="162">
        <f t="shared" si="29"/>
        <v>0</v>
      </c>
    </row>
    <row r="104" spans="1:16">
      <c r="B104" s="9" t="str">
        <f t="shared" si="26"/>
        <v/>
      </c>
      <c r="C104" s="157">
        <f>IF(D93="","-",+C103+1)</f>
        <v>2015</v>
      </c>
      <c r="D104" s="366">
        <v>88191.5</v>
      </c>
      <c r="E104" s="368">
        <v>1857</v>
      </c>
      <c r="F104" s="371">
        <v>86334.5</v>
      </c>
      <c r="G104" s="371">
        <v>87263</v>
      </c>
      <c r="H104" s="368">
        <v>13763.334720904193</v>
      </c>
      <c r="I104" s="370">
        <v>13763.334720904193</v>
      </c>
      <c r="J104" s="162">
        <f t="shared" si="20"/>
        <v>0</v>
      </c>
      <c r="K104" s="162"/>
      <c r="L104" s="380">
        <f t="shared" si="21"/>
        <v>13763.334720904193</v>
      </c>
      <c r="M104" s="381">
        <f t="shared" si="27"/>
        <v>0</v>
      </c>
      <c r="N104" s="380">
        <f t="shared" si="23"/>
        <v>13763.334720904193</v>
      </c>
      <c r="O104" s="162">
        <f t="shared" si="28"/>
        <v>0</v>
      </c>
      <c r="P104" s="162">
        <f t="shared" si="29"/>
        <v>0</v>
      </c>
    </row>
    <row r="105" spans="1:16">
      <c r="B105" s="9" t="str">
        <f t="shared" si="26"/>
        <v/>
      </c>
      <c r="C105" s="157">
        <f>IF(D93="","-",+C104+1)</f>
        <v>2016</v>
      </c>
      <c r="D105" s="366">
        <v>86334.5</v>
      </c>
      <c r="E105" s="368">
        <v>2099</v>
      </c>
      <c r="F105" s="371">
        <v>84235.5</v>
      </c>
      <c r="G105" s="371">
        <v>85285</v>
      </c>
      <c r="H105" s="368">
        <v>13093.579642748955</v>
      </c>
      <c r="I105" s="370">
        <v>13093.579642748955</v>
      </c>
      <c r="J105" s="162">
        <v>0</v>
      </c>
      <c r="K105" s="162"/>
      <c r="L105" s="380">
        <f>H105</f>
        <v>13093.579642748955</v>
      </c>
      <c r="M105" s="381">
        <f t="shared" si="27"/>
        <v>0</v>
      </c>
      <c r="N105" s="380">
        <f>I105</f>
        <v>13093.579642748955</v>
      </c>
      <c r="O105" s="162">
        <f t="shared" si="28"/>
        <v>0</v>
      </c>
      <c r="P105" s="162">
        <f t="shared" si="29"/>
        <v>0</v>
      </c>
    </row>
    <row r="106" spans="1:16">
      <c r="B106" s="9" t="str">
        <f t="shared" si="26"/>
        <v/>
      </c>
      <c r="C106" s="157">
        <f>IF(D93="","-",+C105+1)</f>
        <v>2017</v>
      </c>
      <c r="D106" s="366">
        <v>84235.5</v>
      </c>
      <c r="E106" s="368">
        <v>2099</v>
      </c>
      <c r="F106" s="371">
        <v>82136.5</v>
      </c>
      <c r="G106" s="371">
        <v>83186</v>
      </c>
      <c r="H106" s="368">
        <v>12651.353853573521</v>
      </c>
      <c r="I106" s="370">
        <v>12651.353853573521</v>
      </c>
      <c r="J106" s="162">
        <f t="shared" si="20"/>
        <v>0</v>
      </c>
      <c r="K106" s="162"/>
      <c r="L106" s="380">
        <f>H106</f>
        <v>12651.353853573521</v>
      </c>
      <c r="M106" s="381">
        <f t="shared" si="27"/>
        <v>0</v>
      </c>
      <c r="N106" s="380">
        <f>I106</f>
        <v>12651.353853573521</v>
      </c>
      <c r="O106" s="162">
        <f t="shared" si="28"/>
        <v>0</v>
      </c>
      <c r="P106" s="162">
        <f t="shared" si="29"/>
        <v>0</v>
      </c>
    </row>
    <row r="107" spans="1:16">
      <c r="B107" s="9" t="str">
        <f t="shared" si="26"/>
        <v/>
      </c>
      <c r="C107" s="157">
        <f>IF(D93="","-",+C106+1)</f>
        <v>2018</v>
      </c>
      <c r="D107" s="158">
        <f>IF(F106+SUM(E$99:E106)=D$92,F106,D$92-SUM(E$99:E106))</f>
        <v>82136.5</v>
      </c>
      <c r="E107" s="165">
        <f>IF(+J96&lt;F106,J96,D107)</f>
        <v>2246</v>
      </c>
      <c r="F107" s="163">
        <f t="shared" ref="F107:F129" si="30">+D107-E107</f>
        <v>79890.5</v>
      </c>
      <c r="G107" s="163">
        <f t="shared" ref="G107:G129" si="31">+(F107+D107)/2</f>
        <v>81013.5</v>
      </c>
      <c r="H107" s="167">
        <f t="shared" ref="H107:H130" si="32">+J$94*G107+E107</f>
        <v>10568.967843132519</v>
      </c>
      <c r="I107" s="317">
        <f t="shared" ref="I107:I130" si="33">+J$95*G107+E107</f>
        <v>10568.967843132519</v>
      </c>
      <c r="J107" s="162">
        <f t="shared" si="20"/>
        <v>0</v>
      </c>
      <c r="K107" s="162"/>
      <c r="L107" s="335"/>
      <c r="M107" s="162">
        <f t="shared" si="22"/>
        <v>0</v>
      </c>
      <c r="N107" s="335"/>
      <c r="O107" s="162">
        <f t="shared" si="24"/>
        <v>0</v>
      </c>
      <c r="P107" s="162">
        <f t="shared" si="25"/>
        <v>0</v>
      </c>
    </row>
    <row r="108" spans="1:16">
      <c r="B108" s="9" t="str">
        <f t="shared" si="26"/>
        <v/>
      </c>
      <c r="C108" s="157">
        <f>IF(D93="","-",+C107+1)</f>
        <v>2019</v>
      </c>
      <c r="D108" s="158">
        <f>IF(F107+SUM(E$99:E107)=D$92,F107,D$92-SUM(E$99:E107))</f>
        <v>79890.5</v>
      </c>
      <c r="E108" s="165">
        <f>IF(+J96&lt;F107,J96,D108)</f>
        <v>2246</v>
      </c>
      <c r="F108" s="163">
        <f t="shared" si="30"/>
        <v>77644.5</v>
      </c>
      <c r="G108" s="163">
        <f t="shared" si="31"/>
        <v>78767.5</v>
      </c>
      <c r="H108" s="167">
        <f t="shared" si="32"/>
        <v>10338.223760039262</v>
      </c>
      <c r="I108" s="317">
        <f t="shared" si="33"/>
        <v>10338.223760039262</v>
      </c>
      <c r="J108" s="162">
        <f t="shared" si="20"/>
        <v>0</v>
      </c>
      <c r="K108" s="162"/>
      <c r="L108" s="335"/>
      <c r="M108" s="162">
        <f t="shared" si="22"/>
        <v>0</v>
      </c>
      <c r="N108" s="335"/>
      <c r="O108" s="162">
        <f t="shared" si="24"/>
        <v>0</v>
      </c>
      <c r="P108" s="162">
        <f t="shared" si="25"/>
        <v>0</v>
      </c>
    </row>
    <row r="109" spans="1:16">
      <c r="B109" s="9" t="str">
        <f t="shared" si="26"/>
        <v/>
      </c>
      <c r="C109" s="157">
        <f>IF(D93="","-",+C108+1)</f>
        <v>2020</v>
      </c>
      <c r="D109" s="158">
        <f>IF(F108+SUM(E$99:E108)=D$92,F108,D$92-SUM(E$99:E108))</f>
        <v>77644.5</v>
      </c>
      <c r="E109" s="165">
        <f>IF(+J96&lt;F108,J96,D109)</f>
        <v>2246</v>
      </c>
      <c r="F109" s="163">
        <f t="shared" si="30"/>
        <v>75398.5</v>
      </c>
      <c r="G109" s="163">
        <f t="shared" si="31"/>
        <v>76521.5</v>
      </c>
      <c r="H109" s="167">
        <f t="shared" si="32"/>
        <v>10107.479676946004</v>
      </c>
      <c r="I109" s="317">
        <f t="shared" si="33"/>
        <v>10107.479676946004</v>
      </c>
      <c r="J109" s="162">
        <f t="shared" si="20"/>
        <v>0</v>
      </c>
      <c r="K109" s="162"/>
      <c r="L109" s="335"/>
      <c r="M109" s="162">
        <f t="shared" si="22"/>
        <v>0</v>
      </c>
      <c r="N109" s="335"/>
      <c r="O109" s="162">
        <f t="shared" si="24"/>
        <v>0</v>
      </c>
      <c r="P109" s="162">
        <f t="shared" si="25"/>
        <v>0</v>
      </c>
    </row>
    <row r="110" spans="1:16">
      <c r="B110" s="9" t="str">
        <f t="shared" si="26"/>
        <v/>
      </c>
      <c r="C110" s="157">
        <f>IF(D93="","-",+C109+1)</f>
        <v>2021</v>
      </c>
      <c r="D110" s="158">
        <f>IF(F109+SUM(E$99:E109)=D$92,F109,D$92-SUM(E$99:E109))</f>
        <v>75398.5</v>
      </c>
      <c r="E110" s="165">
        <f>IF(+J96&lt;F109,J96,D110)</f>
        <v>2246</v>
      </c>
      <c r="F110" s="163">
        <f t="shared" si="30"/>
        <v>73152.5</v>
      </c>
      <c r="G110" s="163">
        <f t="shared" si="31"/>
        <v>74275.5</v>
      </c>
      <c r="H110" s="167">
        <f t="shared" si="32"/>
        <v>9876.7355938527471</v>
      </c>
      <c r="I110" s="317">
        <f t="shared" si="33"/>
        <v>9876.7355938527471</v>
      </c>
      <c r="J110" s="162">
        <f t="shared" si="20"/>
        <v>0</v>
      </c>
      <c r="K110" s="162"/>
      <c r="L110" s="335"/>
      <c r="M110" s="162">
        <f t="shared" si="22"/>
        <v>0</v>
      </c>
      <c r="N110" s="335"/>
      <c r="O110" s="162">
        <f t="shared" si="24"/>
        <v>0</v>
      </c>
      <c r="P110" s="162">
        <f t="shared" si="25"/>
        <v>0</v>
      </c>
    </row>
    <row r="111" spans="1:16">
      <c r="B111" s="9" t="str">
        <f t="shared" si="26"/>
        <v/>
      </c>
      <c r="C111" s="157">
        <f>IF(D93="","-",+C110+1)</f>
        <v>2022</v>
      </c>
      <c r="D111" s="158">
        <f>IF(F110+SUM(E$99:E110)=D$92,F110,D$92-SUM(E$99:E110))</f>
        <v>73152.5</v>
      </c>
      <c r="E111" s="165">
        <f>IF(+J96&lt;F110,J96,D111)</f>
        <v>2246</v>
      </c>
      <c r="F111" s="163">
        <f t="shared" si="30"/>
        <v>70906.5</v>
      </c>
      <c r="G111" s="163">
        <f t="shared" si="31"/>
        <v>72029.5</v>
      </c>
      <c r="H111" s="167">
        <f t="shared" si="32"/>
        <v>9645.9915107594898</v>
      </c>
      <c r="I111" s="317">
        <f t="shared" si="33"/>
        <v>9645.9915107594898</v>
      </c>
      <c r="J111" s="162">
        <f t="shared" si="20"/>
        <v>0</v>
      </c>
      <c r="K111" s="162"/>
      <c r="L111" s="335"/>
      <c r="M111" s="162">
        <f t="shared" si="22"/>
        <v>0</v>
      </c>
      <c r="N111" s="335"/>
      <c r="O111" s="162">
        <f t="shared" si="24"/>
        <v>0</v>
      </c>
      <c r="P111" s="162">
        <f t="shared" si="25"/>
        <v>0</v>
      </c>
    </row>
    <row r="112" spans="1:16">
      <c r="B112" s="9" t="str">
        <f t="shared" si="26"/>
        <v/>
      </c>
      <c r="C112" s="157">
        <f>IF(D93="","-",+C111+1)</f>
        <v>2023</v>
      </c>
      <c r="D112" s="158">
        <f>IF(F111+SUM(E$99:E111)=D$92,F111,D$92-SUM(E$99:E111))</f>
        <v>70906.5</v>
      </c>
      <c r="E112" s="165">
        <f>IF(+J96&lt;F111,J96,D112)</f>
        <v>2246</v>
      </c>
      <c r="F112" s="163">
        <f t="shared" si="30"/>
        <v>68660.5</v>
      </c>
      <c r="G112" s="163">
        <f t="shared" si="31"/>
        <v>69783.5</v>
      </c>
      <c r="H112" s="167">
        <f t="shared" si="32"/>
        <v>9415.2474276662306</v>
      </c>
      <c r="I112" s="317">
        <f t="shared" si="33"/>
        <v>9415.2474276662306</v>
      </c>
      <c r="J112" s="162">
        <f t="shared" si="20"/>
        <v>0</v>
      </c>
      <c r="K112" s="162"/>
      <c r="L112" s="335"/>
      <c r="M112" s="162">
        <f t="shared" si="22"/>
        <v>0</v>
      </c>
      <c r="N112" s="335"/>
      <c r="O112" s="162">
        <f t="shared" si="24"/>
        <v>0</v>
      </c>
      <c r="P112" s="162">
        <f t="shared" si="25"/>
        <v>0</v>
      </c>
    </row>
    <row r="113" spans="2:16">
      <c r="B113" s="9" t="str">
        <f t="shared" si="26"/>
        <v/>
      </c>
      <c r="C113" s="157">
        <f>IF(D93="","-",+C112+1)</f>
        <v>2024</v>
      </c>
      <c r="D113" s="158">
        <f>IF(F112+SUM(E$99:E112)=D$92,F112,D$92-SUM(E$99:E112))</f>
        <v>68660.5</v>
      </c>
      <c r="E113" s="165">
        <f>IF(+J96&lt;F112,J96,D113)</f>
        <v>2246</v>
      </c>
      <c r="F113" s="163">
        <f t="shared" si="30"/>
        <v>66414.5</v>
      </c>
      <c r="G113" s="163">
        <f t="shared" si="31"/>
        <v>67537.5</v>
      </c>
      <c r="H113" s="167">
        <f t="shared" si="32"/>
        <v>9184.5033445729732</v>
      </c>
      <c r="I113" s="317">
        <f t="shared" si="33"/>
        <v>9184.5033445729732</v>
      </c>
      <c r="J113" s="162">
        <f t="shared" si="20"/>
        <v>0</v>
      </c>
      <c r="K113" s="162"/>
      <c r="L113" s="335"/>
      <c r="M113" s="162">
        <f t="shared" si="22"/>
        <v>0</v>
      </c>
      <c r="N113" s="335"/>
      <c r="O113" s="162">
        <f t="shared" si="24"/>
        <v>0</v>
      </c>
      <c r="P113" s="162">
        <f t="shared" si="25"/>
        <v>0</v>
      </c>
    </row>
    <row r="114" spans="2:16">
      <c r="B114" s="9" t="str">
        <f t="shared" si="26"/>
        <v/>
      </c>
      <c r="C114" s="157">
        <f>IF(D93="","-",+C113+1)</f>
        <v>2025</v>
      </c>
      <c r="D114" s="158">
        <f>IF(F113+SUM(E$99:E113)=D$92,F113,D$92-SUM(E$99:E113))</f>
        <v>66414.5</v>
      </c>
      <c r="E114" s="165">
        <f>IF(+J96&lt;F113,J96,D114)</f>
        <v>2246</v>
      </c>
      <c r="F114" s="163">
        <f t="shared" si="30"/>
        <v>64168.5</v>
      </c>
      <c r="G114" s="163">
        <f t="shared" si="31"/>
        <v>65291.5</v>
      </c>
      <c r="H114" s="167">
        <f t="shared" si="32"/>
        <v>8953.759261479714</v>
      </c>
      <c r="I114" s="317">
        <f t="shared" si="33"/>
        <v>8953.759261479714</v>
      </c>
      <c r="J114" s="162">
        <f t="shared" si="20"/>
        <v>0</v>
      </c>
      <c r="K114" s="162"/>
      <c r="L114" s="335"/>
      <c r="M114" s="162">
        <f t="shared" si="22"/>
        <v>0</v>
      </c>
      <c r="N114" s="335"/>
      <c r="O114" s="162">
        <f t="shared" si="24"/>
        <v>0</v>
      </c>
      <c r="P114" s="162">
        <f t="shared" si="25"/>
        <v>0</v>
      </c>
    </row>
    <row r="115" spans="2:16">
      <c r="B115" s="9" t="str">
        <f t="shared" si="26"/>
        <v/>
      </c>
      <c r="C115" s="157">
        <f>IF(D93="","-",+C114+1)</f>
        <v>2026</v>
      </c>
      <c r="D115" s="158">
        <f>IF(F114+SUM(E$99:E114)=D$92,F114,D$92-SUM(E$99:E114))</f>
        <v>64168.5</v>
      </c>
      <c r="E115" s="165">
        <f>IF(+J96&lt;F114,J96,D115)</f>
        <v>2246</v>
      </c>
      <c r="F115" s="163">
        <f t="shared" si="30"/>
        <v>61922.5</v>
      </c>
      <c r="G115" s="163">
        <f t="shared" si="31"/>
        <v>63045.5</v>
      </c>
      <c r="H115" s="167">
        <f t="shared" si="32"/>
        <v>8723.0151783864567</v>
      </c>
      <c r="I115" s="317">
        <f t="shared" si="33"/>
        <v>8723.0151783864567</v>
      </c>
      <c r="J115" s="162">
        <f t="shared" si="20"/>
        <v>0</v>
      </c>
      <c r="K115" s="162"/>
      <c r="L115" s="335"/>
      <c r="M115" s="162">
        <f t="shared" si="22"/>
        <v>0</v>
      </c>
      <c r="N115" s="335"/>
      <c r="O115" s="162">
        <f t="shared" si="24"/>
        <v>0</v>
      </c>
      <c r="P115" s="162">
        <f t="shared" si="25"/>
        <v>0</v>
      </c>
    </row>
    <row r="116" spans="2:16">
      <c r="B116" s="9" t="str">
        <f t="shared" si="26"/>
        <v/>
      </c>
      <c r="C116" s="157">
        <f>IF(D93="","-",+C115+1)</f>
        <v>2027</v>
      </c>
      <c r="D116" s="158">
        <f>IF(F115+SUM(E$99:E115)=D$92,F115,D$92-SUM(E$99:E115))</f>
        <v>61922.5</v>
      </c>
      <c r="E116" s="165">
        <f>IF(+J96&lt;F115,J96,D116)</f>
        <v>2246</v>
      </c>
      <c r="F116" s="163">
        <f t="shared" si="30"/>
        <v>59676.5</v>
      </c>
      <c r="G116" s="163">
        <f t="shared" si="31"/>
        <v>60799.5</v>
      </c>
      <c r="H116" s="167">
        <f t="shared" si="32"/>
        <v>8492.2710952931993</v>
      </c>
      <c r="I116" s="317">
        <f t="shared" si="33"/>
        <v>8492.2710952931993</v>
      </c>
      <c r="J116" s="162">
        <f t="shared" si="20"/>
        <v>0</v>
      </c>
      <c r="K116" s="162"/>
      <c r="L116" s="335"/>
      <c r="M116" s="162">
        <f t="shared" si="22"/>
        <v>0</v>
      </c>
      <c r="N116" s="335"/>
      <c r="O116" s="162">
        <f t="shared" si="24"/>
        <v>0</v>
      </c>
      <c r="P116" s="162">
        <f t="shared" si="25"/>
        <v>0</v>
      </c>
    </row>
    <row r="117" spans="2:16">
      <c r="B117" s="9" t="str">
        <f t="shared" si="26"/>
        <v/>
      </c>
      <c r="C117" s="157">
        <f>IF(D93="","-",+C116+1)</f>
        <v>2028</v>
      </c>
      <c r="D117" s="158">
        <f>IF(F116+SUM(E$99:E116)=D$92,F116,D$92-SUM(E$99:E116))</f>
        <v>59676.5</v>
      </c>
      <c r="E117" s="165">
        <f>IF(+J96&lt;F116,J96,D117)</f>
        <v>2246</v>
      </c>
      <c r="F117" s="163">
        <f t="shared" si="30"/>
        <v>57430.5</v>
      </c>
      <c r="G117" s="163">
        <f t="shared" si="31"/>
        <v>58553.5</v>
      </c>
      <c r="H117" s="167">
        <f t="shared" si="32"/>
        <v>8261.527012199942</v>
      </c>
      <c r="I117" s="317">
        <f t="shared" si="33"/>
        <v>8261.527012199942</v>
      </c>
      <c r="J117" s="162">
        <f t="shared" si="20"/>
        <v>0</v>
      </c>
      <c r="K117" s="162"/>
      <c r="L117" s="335"/>
      <c r="M117" s="162">
        <f t="shared" si="22"/>
        <v>0</v>
      </c>
      <c r="N117" s="335"/>
      <c r="O117" s="162">
        <f t="shared" si="24"/>
        <v>0</v>
      </c>
      <c r="P117" s="162">
        <f t="shared" si="25"/>
        <v>0</v>
      </c>
    </row>
    <row r="118" spans="2:16">
      <c r="B118" s="9" t="str">
        <f t="shared" si="26"/>
        <v/>
      </c>
      <c r="C118" s="157">
        <f>IF(D93="","-",+C117+1)</f>
        <v>2029</v>
      </c>
      <c r="D118" s="158">
        <f>IF(F117+SUM(E$99:E117)=D$92,F117,D$92-SUM(E$99:E117))</f>
        <v>57430.5</v>
      </c>
      <c r="E118" s="165">
        <f>IF(+J96&lt;F117,J96,D118)</f>
        <v>2246</v>
      </c>
      <c r="F118" s="163">
        <f t="shared" si="30"/>
        <v>55184.5</v>
      </c>
      <c r="G118" s="163">
        <f t="shared" si="31"/>
        <v>56307.5</v>
      </c>
      <c r="H118" s="167">
        <f t="shared" si="32"/>
        <v>8030.7829291066837</v>
      </c>
      <c r="I118" s="317">
        <f t="shared" si="33"/>
        <v>8030.7829291066837</v>
      </c>
      <c r="J118" s="162">
        <f t="shared" si="20"/>
        <v>0</v>
      </c>
      <c r="K118" s="162"/>
      <c r="L118" s="335"/>
      <c r="M118" s="162">
        <f t="shared" si="22"/>
        <v>0</v>
      </c>
      <c r="N118" s="335"/>
      <c r="O118" s="162">
        <f t="shared" si="24"/>
        <v>0</v>
      </c>
      <c r="P118" s="162">
        <f t="shared" si="25"/>
        <v>0</v>
      </c>
    </row>
    <row r="119" spans="2:16">
      <c r="B119" s="9" t="str">
        <f t="shared" si="26"/>
        <v/>
      </c>
      <c r="C119" s="157">
        <f>IF(D93="","-",+C118+1)</f>
        <v>2030</v>
      </c>
      <c r="D119" s="158">
        <f>IF(F118+SUM(E$99:E118)=D$92,F118,D$92-SUM(E$99:E118))</f>
        <v>55184.5</v>
      </c>
      <c r="E119" s="165">
        <f>IF(+J96&lt;F118,J96,D119)</f>
        <v>2246</v>
      </c>
      <c r="F119" s="163">
        <f t="shared" si="30"/>
        <v>52938.5</v>
      </c>
      <c r="G119" s="163">
        <f t="shared" si="31"/>
        <v>54061.5</v>
      </c>
      <c r="H119" s="167">
        <f t="shared" si="32"/>
        <v>7800.0388460134263</v>
      </c>
      <c r="I119" s="317">
        <f t="shared" si="33"/>
        <v>7800.0388460134263</v>
      </c>
      <c r="J119" s="162">
        <f t="shared" si="20"/>
        <v>0</v>
      </c>
      <c r="K119" s="162"/>
      <c r="L119" s="335"/>
      <c r="M119" s="162">
        <f t="shared" si="22"/>
        <v>0</v>
      </c>
      <c r="N119" s="335"/>
      <c r="O119" s="162">
        <f t="shared" si="24"/>
        <v>0</v>
      </c>
      <c r="P119" s="162">
        <f t="shared" si="25"/>
        <v>0</v>
      </c>
    </row>
    <row r="120" spans="2:16">
      <c r="B120" s="9" t="str">
        <f t="shared" si="26"/>
        <v/>
      </c>
      <c r="C120" s="157">
        <f>IF(D93="","-",+C119+1)</f>
        <v>2031</v>
      </c>
      <c r="D120" s="158">
        <f>IF(F119+SUM(E$99:E119)=D$92,F119,D$92-SUM(E$99:E119))</f>
        <v>52938.5</v>
      </c>
      <c r="E120" s="165">
        <f>IF(+J96&lt;F119,J96,D120)</f>
        <v>2246</v>
      </c>
      <c r="F120" s="163">
        <f t="shared" si="30"/>
        <v>50692.5</v>
      </c>
      <c r="G120" s="163">
        <f t="shared" si="31"/>
        <v>51815.5</v>
      </c>
      <c r="H120" s="167">
        <f t="shared" si="32"/>
        <v>7569.294762920169</v>
      </c>
      <c r="I120" s="317">
        <f t="shared" si="33"/>
        <v>7569.294762920169</v>
      </c>
      <c r="J120" s="162">
        <f t="shared" si="20"/>
        <v>0</v>
      </c>
      <c r="K120" s="162"/>
      <c r="L120" s="335"/>
      <c r="M120" s="162">
        <f t="shared" si="22"/>
        <v>0</v>
      </c>
      <c r="N120" s="335"/>
      <c r="O120" s="162">
        <f t="shared" si="24"/>
        <v>0</v>
      </c>
      <c r="P120" s="162">
        <f t="shared" si="25"/>
        <v>0</v>
      </c>
    </row>
    <row r="121" spans="2:16">
      <c r="B121" s="9" t="str">
        <f t="shared" si="26"/>
        <v/>
      </c>
      <c r="C121" s="157">
        <f>IF(D93="","-",+C120+1)</f>
        <v>2032</v>
      </c>
      <c r="D121" s="158">
        <f>IF(F120+SUM(E$99:E120)=D$92,F120,D$92-SUM(E$99:E120))</f>
        <v>50692.5</v>
      </c>
      <c r="E121" s="165">
        <f>IF(+J96&lt;F120,J96,D121)</f>
        <v>2246</v>
      </c>
      <c r="F121" s="163">
        <f t="shared" si="30"/>
        <v>48446.5</v>
      </c>
      <c r="G121" s="163">
        <f t="shared" si="31"/>
        <v>49569.5</v>
      </c>
      <c r="H121" s="167">
        <f t="shared" si="32"/>
        <v>7338.5506798269107</v>
      </c>
      <c r="I121" s="317">
        <f t="shared" si="33"/>
        <v>7338.5506798269107</v>
      </c>
      <c r="J121" s="162">
        <f t="shared" si="20"/>
        <v>0</v>
      </c>
      <c r="K121" s="162"/>
      <c r="L121" s="335"/>
      <c r="M121" s="162">
        <f t="shared" si="22"/>
        <v>0</v>
      </c>
      <c r="N121" s="335"/>
      <c r="O121" s="162">
        <f t="shared" si="24"/>
        <v>0</v>
      </c>
      <c r="P121" s="162">
        <f t="shared" si="25"/>
        <v>0</v>
      </c>
    </row>
    <row r="122" spans="2:16">
      <c r="B122" s="9" t="str">
        <f t="shared" si="26"/>
        <v/>
      </c>
      <c r="C122" s="157">
        <f>IF(D93="","-",+C121+1)</f>
        <v>2033</v>
      </c>
      <c r="D122" s="158">
        <f>IF(F121+SUM(E$99:E121)=D$92,F121,D$92-SUM(E$99:E121))</f>
        <v>48446.5</v>
      </c>
      <c r="E122" s="165">
        <f>IF(+J96&lt;F121,J96,D122)</f>
        <v>2246</v>
      </c>
      <c r="F122" s="163">
        <f t="shared" si="30"/>
        <v>46200.5</v>
      </c>
      <c r="G122" s="163">
        <f t="shared" si="31"/>
        <v>47323.5</v>
      </c>
      <c r="H122" s="167">
        <f t="shared" si="32"/>
        <v>7107.8065967336534</v>
      </c>
      <c r="I122" s="317">
        <f t="shared" si="33"/>
        <v>7107.8065967336534</v>
      </c>
      <c r="J122" s="162">
        <f t="shared" si="20"/>
        <v>0</v>
      </c>
      <c r="K122" s="162"/>
      <c r="L122" s="335"/>
      <c r="M122" s="162">
        <f t="shared" si="22"/>
        <v>0</v>
      </c>
      <c r="N122" s="335"/>
      <c r="O122" s="162">
        <f t="shared" si="24"/>
        <v>0</v>
      </c>
      <c r="P122" s="162">
        <f t="shared" si="25"/>
        <v>0</v>
      </c>
    </row>
    <row r="123" spans="2:16">
      <c r="B123" s="9" t="str">
        <f t="shared" si="26"/>
        <v/>
      </c>
      <c r="C123" s="157">
        <f>IF(D93="","-",+C122+1)</f>
        <v>2034</v>
      </c>
      <c r="D123" s="158">
        <f>IF(F122+SUM(E$99:E122)=D$92,F122,D$92-SUM(E$99:E122))</f>
        <v>46200.5</v>
      </c>
      <c r="E123" s="165">
        <f>IF(+J96&lt;F122,J96,D123)</f>
        <v>2246</v>
      </c>
      <c r="F123" s="163">
        <f t="shared" si="30"/>
        <v>43954.5</v>
      </c>
      <c r="G123" s="163">
        <f t="shared" si="31"/>
        <v>45077.5</v>
      </c>
      <c r="H123" s="167">
        <f t="shared" si="32"/>
        <v>6877.0625136403951</v>
      </c>
      <c r="I123" s="317">
        <f t="shared" si="33"/>
        <v>6877.0625136403951</v>
      </c>
      <c r="J123" s="162">
        <f t="shared" si="20"/>
        <v>0</v>
      </c>
      <c r="K123" s="162"/>
      <c r="L123" s="335"/>
      <c r="M123" s="162">
        <f t="shared" si="22"/>
        <v>0</v>
      </c>
      <c r="N123" s="335"/>
      <c r="O123" s="162">
        <f t="shared" si="24"/>
        <v>0</v>
      </c>
      <c r="P123" s="162">
        <f t="shared" si="25"/>
        <v>0</v>
      </c>
    </row>
    <row r="124" spans="2:16">
      <c r="B124" s="9" t="str">
        <f t="shared" si="26"/>
        <v/>
      </c>
      <c r="C124" s="157">
        <f>IF(D93="","-",+C123+1)</f>
        <v>2035</v>
      </c>
      <c r="D124" s="158">
        <f>IF(F123+SUM(E$99:E123)=D$92,F123,D$92-SUM(E$99:E123))</f>
        <v>43954.5</v>
      </c>
      <c r="E124" s="165">
        <f>IF(+J96&lt;F123,J96,D124)</f>
        <v>2246</v>
      </c>
      <c r="F124" s="163">
        <f t="shared" si="30"/>
        <v>41708.5</v>
      </c>
      <c r="G124" s="163">
        <f t="shared" si="31"/>
        <v>42831.5</v>
      </c>
      <c r="H124" s="167">
        <f t="shared" si="32"/>
        <v>6646.3184305471377</v>
      </c>
      <c r="I124" s="317">
        <f t="shared" si="33"/>
        <v>6646.3184305471377</v>
      </c>
      <c r="J124" s="162">
        <f t="shared" si="20"/>
        <v>0</v>
      </c>
      <c r="K124" s="162"/>
      <c r="L124" s="335"/>
      <c r="M124" s="162">
        <f t="shared" si="22"/>
        <v>0</v>
      </c>
      <c r="N124" s="335"/>
      <c r="O124" s="162">
        <f t="shared" si="24"/>
        <v>0</v>
      </c>
      <c r="P124" s="162">
        <f t="shared" si="25"/>
        <v>0</v>
      </c>
    </row>
    <row r="125" spans="2:16">
      <c r="B125" s="9" t="str">
        <f t="shared" si="26"/>
        <v/>
      </c>
      <c r="C125" s="157">
        <f>IF(D93="","-",+C124+1)</f>
        <v>2036</v>
      </c>
      <c r="D125" s="158">
        <f>IF(F124+SUM(E$99:E124)=D$92,F124,D$92-SUM(E$99:E124))</f>
        <v>41708.5</v>
      </c>
      <c r="E125" s="165">
        <f>IF(+J96&lt;F124,J96,D125)</f>
        <v>2246</v>
      </c>
      <c r="F125" s="163">
        <f t="shared" si="30"/>
        <v>39462.5</v>
      </c>
      <c r="G125" s="163">
        <f t="shared" si="31"/>
        <v>40585.5</v>
      </c>
      <c r="H125" s="167">
        <f t="shared" si="32"/>
        <v>6415.5743474538795</v>
      </c>
      <c r="I125" s="317">
        <f t="shared" si="33"/>
        <v>6415.5743474538795</v>
      </c>
      <c r="J125" s="162">
        <f t="shared" si="20"/>
        <v>0</v>
      </c>
      <c r="K125" s="162"/>
      <c r="L125" s="335"/>
      <c r="M125" s="162">
        <f t="shared" si="22"/>
        <v>0</v>
      </c>
      <c r="N125" s="335"/>
      <c r="O125" s="162">
        <f t="shared" si="24"/>
        <v>0</v>
      </c>
      <c r="P125" s="162">
        <f t="shared" si="25"/>
        <v>0</v>
      </c>
    </row>
    <row r="126" spans="2:16">
      <c r="B126" s="9" t="str">
        <f t="shared" si="26"/>
        <v/>
      </c>
      <c r="C126" s="157">
        <f>IF(D93="","-",+C125+1)</f>
        <v>2037</v>
      </c>
      <c r="D126" s="158">
        <f>IF(F125+SUM(E$99:E125)=D$92,F125,D$92-SUM(E$99:E125))</f>
        <v>39462.5</v>
      </c>
      <c r="E126" s="165">
        <f>IF(+J96&lt;F125,J96,D126)</f>
        <v>2246</v>
      </c>
      <c r="F126" s="163">
        <f t="shared" si="30"/>
        <v>37216.5</v>
      </c>
      <c r="G126" s="163">
        <f t="shared" si="31"/>
        <v>38339.5</v>
      </c>
      <c r="H126" s="167">
        <f t="shared" si="32"/>
        <v>6184.8302643606221</v>
      </c>
      <c r="I126" s="317">
        <f t="shared" si="33"/>
        <v>6184.8302643606221</v>
      </c>
      <c r="J126" s="162">
        <f t="shared" si="20"/>
        <v>0</v>
      </c>
      <c r="K126" s="162"/>
      <c r="L126" s="335"/>
      <c r="M126" s="162">
        <f t="shared" si="22"/>
        <v>0</v>
      </c>
      <c r="N126" s="335"/>
      <c r="O126" s="162">
        <f t="shared" si="24"/>
        <v>0</v>
      </c>
      <c r="P126" s="162">
        <f t="shared" si="25"/>
        <v>0</v>
      </c>
    </row>
    <row r="127" spans="2:16">
      <c r="B127" s="9" t="str">
        <f t="shared" si="26"/>
        <v/>
      </c>
      <c r="C127" s="157">
        <f>IF(D93="","-",+C126+1)</f>
        <v>2038</v>
      </c>
      <c r="D127" s="158">
        <f>IF(F126+SUM(E$99:E126)=D$92,F126,D$92-SUM(E$99:E126))</f>
        <v>37216.5</v>
      </c>
      <c r="E127" s="165">
        <f>IF(+J96&lt;F126,J96,D127)</f>
        <v>2246</v>
      </c>
      <c r="F127" s="163">
        <f t="shared" si="30"/>
        <v>34970.5</v>
      </c>
      <c r="G127" s="163">
        <f t="shared" si="31"/>
        <v>36093.5</v>
      </c>
      <c r="H127" s="167">
        <f t="shared" si="32"/>
        <v>5954.0861812673647</v>
      </c>
      <c r="I127" s="317">
        <f t="shared" si="33"/>
        <v>5954.0861812673647</v>
      </c>
      <c r="J127" s="162">
        <f t="shared" si="20"/>
        <v>0</v>
      </c>
      <c r="K127" s="162"/>
      <c r="L127" s="335"/>
      <c r="M127" s="162">
        <f t="shared" si="22"/>
        <v>0</v>
      </c>
      <c r="N127" s="335"/>
      <c r="O127" s="162">
        <f t="shared" si="24"/>
        <v>0</v>
      </c>
      <c r="P127" s="162">
        <f t="shared" si="25"/>
        <v>0</v>
      </c>
    </row>
    <row r="128" spans="2:16">
      <c r="B128" s="9" t="str">
        <f t="shared" si="26"/>
        <v/>
      </c>
      <c r="C128" s="157">
        <f>IF(D93="","-",+C127+1)</f>
        <v>2039</v>
      </c>
      <c r="D128" s="158">
        <f>IF(F127+SUM(E$99:E127)=D$92,F127,D$92-SUM(E$99:E127))</f>
        <v>34970.5</v>
      </c>
      <c r="E128" s="165">
        <f>IF(+J96&lt;F127,J96,D128)</f>
        <v>2246</v>
      </c>
      <c r="F128" s="163">
        <f t="shared" si="30"/>
        <v>32724.5</v>
      </c>
      <c r="G128" s="163">
        <f t="shared" si="31"/>
        <v>33847.5</v>
      </c>
      <c r="H128" s="167">
        <f t="shared" si="32"/>
        <v>5723.3420981741065</v>
      </c>
      <c r="I128" s="317">
        <f t="shared" si="33"/>
        <v>5723.3420981741065</v>
      </c>
      <c r="J128" s="162">
        <f t="shared" si="20"/>
        <v>0</v>
      </c>
      <c r="K128" s="162"/>
      <c r="L128" s="335"/>
      <c r="M128" s="162">
        <f t="shared" si="22"/>
        <v>0</v>
      </c>
      <c r="N128" s="335"/>
      <c r="O128" s="162">
        <f t="shared" si="24"/>
        <v>0</v>
      </c>
      <c r="P128" s="162">
        <f t="shared" si="25"/>
        <v>0</v>
      </c>
    </row>
    <row r="129" spans="2:16">
      <c r="B129" s="9" t="str">
        <f t="shared" si="26"/>
        <v/>
      </c>
      <c r="C129" s="157">
        <f>IF(D93="","-",+C128+1)</f>
        <v>2040</v>
      </c>
      <c r="D129" s="158">
        <f>IF(F128+SUM(E$99:E128)=D$92,F128,D$92-SUM(E$99:E128))</f>
        <v>32724.5</v>
      </c>
      <c r="E129" s="165">
        <f>IF(+J96&lt;F128,J96,D129)</f>
        <v>2246</v>
      </c>
      <c r="F129" s="163">
        <f t="shared" si="30"/>
        <v>30478.5</v>
      </c>
      <c r="G129" s="163">
        <f t="shared" si="31"/>
        <v>31601.5</v>
      </c>
      <c r="H129" s="167">
        <f t="shared" si="32"/>
        <v>5492.5980150808482</v>
      </c>
      <c r="I129" s="317">
        <f t="shared" si="33"/>
        <v>5492.5980150808482</v>
      </c>
      <c r="J129" s="162">
        <f t="shared" si="20"/>
        <v>0</v>
      </c>
      <c r="K129" s="162"/>
      <c r="L129" s="335"/>
      <c r="M129" s="162">
        <f t="shared" si="22"/>
        <v>0</v>
      </c>
      <c r="N129" s="335"/>
      <c r="O129" s="162">
        <f t="shared" si="24"/>
        <v>0</v>
      </c>
      <c r="P129" s="162">
        <f t="shared" si="25"/>
        <v>0</v>
      </c>
    </row>
    <row r="130" spans="2:16">
      <c r="B130" s="9" t="str">
        <f t="shared" si="26"/>
        <v/>
      </c>
      <c r="C130" s="157">
        <f>IF(D93="","-",+C129+1)</f>
        <v>2041</v>
      </c>
      <c r="D130" s="158">
        <f>IF(F129+SUM(E$99:E129)=D$92,F129,D$92-SUM(E$99:E129))</f>
        <v>30478.5</v>
      </c>
      <c r="E130" s="165">
        <f>IF(+J96&lt;F129,J96,D130)</f>
        <v>2246</v>
      </c>
      <c r="F130" s="163">
        <f t="shared" ref="F130:F145" si="34">+D130-E130</f>
        <v>28232.5</v>
      </c>
      <c r="G130" s="163">
        <f t="shared" ref="G130:G145" si="35">+(F130+D130)/2</f>
        <v>29355.5</v>
      </c>
      <c r="H130" s="167">
        <f t="shared" si="32"/>
        <v>5261.8539319875908</v>
      </c>
      <c r="I130" s="317">
        <f t="shared" si="33"/>
        <v>5261.8539319875908</v>
      </c>
      <c r="J130" s="162">
        <f t="shared" si="20"/>
        <v>0</v>
      </c>
      <c r="K130" s="162"/>
      <c r="L130" s="335"/>
      <c r="M130" s="162">
        <f t="shared" si="22"/>
        <v>0</v>
      </c>
      <c r="N130" s="335"/>
      <c r="O130" s="162">
        <f t="shared" si="24"/>
        <v>0</v>
      </c>
      <c r="P130" s="162">
        <f t="shared" si="25"/>
        <v>0</v>
      </c>
    </row>
    <row r="131" spans="2:16">
      <c r="B131" s="9" t="str">
        <f t="shared" si="26"/>
        <v/>
      </c>
      <c r="C131" s="157">
        <f>IF(D93="","-",+C130+1)</f>
        <v>2042</v>
      </c>
      <c r="D131" s="158">
        <f>IF(F130+SUM(E$99:E130)=D$92,F130,D$92-SUM(E$99:E130))</f>
        <v>28232.5</v>
      </c>
      <c r="E131" s="165">
        <f>IF(+J96&lt;F130,J96,D131)</f>
        <v>2246</v>
      </c>
      <c r="F131" s="163">
        <f t="shared" si="34"/>
        <v>25986.5</v>
      </c>
      <c r="G131" s="163">
        <f t="shared" si="35"/>
        <v>27109.5</v>
      </c>
      <c r="H131" s="167">
        <f t="shared" ref="H131:H154" si="36">+J$94*G131+E131</f>
        <v>5031.1098488943335</v>
      </c>
      <c r="I131" s="317">
        <f t="shared" ref="I131:I154" si="37">+J$95*G131+E131</f>
        <v>5031.1098488943335</v>
      </c>
      <c r="J131" s="162">
        <f t="shared" ref="J131:J154" si="38">+I541-H541</f>
        <v>0</v>
      </c>
      <c r="K131" s="162"/>
      <c r="L131" s="335"/>
      <c r="M131" s="162">
        <f t="shared" ref="M131:M154" si="39">IF(L541&lt;&gt;0,+H541-L541,0)</f>
        <v>0</v>
      </c>
      <c r="N131" s="335"/>
      <c r="O131" s="162">
        <f t="shared" ref="O131:O154" si="40">IF(N541&lt;&gt;0,+I541-N541,0)</f>
        <v>0</v>
      </c>
      <c r="P131" s="162">
        <f t="shared" ref="P131:P154" si="41">+O541-M541</f>
        <v>0</v>
      </c>
    </row>
    <row r="132" spans="2:16">
      <c r="B132" s="9" t="str">
        <f t="shared" si="26"/>
        <v/>
      </c>
      <c r="C132" s="157">
        <f>IF(D93="","-",+C131+1)</f>
        <v>2043</v>
      </c>
      <c r="D132" s="158">
        <f>IF(F131+SUM(E$99:E131)=D$92,F131,D$92-SUM(E$99:E131))</f>
        <v>25986.5</v>
      </c>
      <c r="E132" s="165">
        <f>IF(+J96&lt;F131,J96,D132)</f>
        <v>2246</v>
      </c>
      <c r="F132" s="163">
        <f t="shared" si="34"/>
        <v>23740.5</v>
      </c>
      <c r="G132" s="163">
        <f t="shared" si="35"/>
        <v>24863.5</v>
      </c>
      <c r="H132" s="167">
        <f t="shared" si="36"/>
        <v>4800.3657658010752</v>
      </c>
      <c r="I132" s="317">
        <f t="shared" si="37"/>
        <v>4800.3657658010752</v>
      </c>
      <c r="J132" s="162">
        <f t="shared" si="38"/>
        <v>0</v>
      </c>
      <c r="K132" s="162"/>
      <c r="L132" s="335"/>
      <c r="M132" s="162">
        <f t="shared" si="39"/>
        <v>0</v>
      </c>
      <c r="N132" s="335"/>
      <c r="O132" s="162">
        <f t="shared" si="40"/>
        <v>0</v>
      </c>
      <c r="P132" s="162">
        <f t="shared" si="41"/>
        <v>0</v>
      </c>
    </row>
    <row r="133" spans="2:16">
      <c r="B133" s="9" t="str">
        <f t="shared" si="26"/>
        <v/>
      </c>
      <c r="C133" s="157">
        <f>IF(D93="","-",+C132+1)</f>
        <v>2044</v>
      </c>
      <c r="D133" s="158">
        <f>IF(F132+SUM(E$99:E132)=D$92,F132,D$92-SUM(E$99:E132))</f>
        <v>23740.5</v>
      </c>
      <c r="E133" s="165">
        <f>IF(+J96&lt;F132,J96,D133)</f>
        <v>2246</v>
      </c>
      <c r="F133" s="163">
        <f t="shared" si="34"/>
        <v>21494.5</v>
      </c>
      <c r="G133" s="163">
        <f t="shared" si="35"/>
        <v>22617.5</v>
      </c>
      <c r="H133" s="167">
        <f t="shared" si="36"/>
        <v>4569.6216827078169</v>
      </c>
      <c r="I133" s="317">
        <f t="shared" si="37"/>
        <v>4569.6216827078169</v>
      </c>
      <c r="J133" s="162">
        <f t="shared" si="38"/>
        <v>0</v>
      </c>
      <c r="K133" s="162"/>
      <c r="L133" s="335"/>
      <c r="M133" s="162">
        <f t="shared" si="39"/>
        <v>0</v>
      </c>
      <c r="N133" s="335"/>
      <c r="O133" s="162">
        <f t="shared" si="40"/>
        <v>0</v>
      </c>
      <c r="P133" s="162">
        <f t="shared" si="41"/>
        <v>0</v>
      </c>
    </row>
    <row r="134" spans="2:16">
      <c r="B134" s="9" t="str">
        <f t="shared" si="26"/>
        <v/>
      </c>
      <c r="C134" s="157">
        <f>IF(D93="","-",+C133+1)</f>
        <v>2045</v>
      </c>
      <c r="D134" s="158">
        <f>IF(F133+SUM(E$99:E133)=D$92,F133,D$92-SUM(E$99:E133))</f>
        <v>21494.5</v>
      </c>
      <c r="E134" s="165">
        <f>IF(+J96&lt;F133,J96,D134)</f>
        <v>2246</v>
      </c>
      <c r="F134" s="163">
        <f t="shared" si="34"/>
        <v>19248.5</v>
      </c>
      <c r="G134" s="163">
        <f t="shared" si="35"/>
        <v>20371.5</v>
      </c>
      <c r="H134" s="167">
        <f t="shared" si="36"/>
        <v>4338.8775996145596</v>
      </c>
      <c r="I134" s="317">
        <f t="shared" si="37"/>
        <v>4338.8775996145596</v>
      </c>
      <c r="J134" s="162">
        <f t="shared" si="38"/>
        <v>0</v>
      </c>
      <c r="K134" s="162"/>
      <c r="L134" s="335"/>
      <c r="M134" s="162">
        <f t="shared" si="39"/>
        <v>0</v>
      </c>
      <c r="N134" s="335"/>
      <c r="O134" s="162">
        <f t="shared" si="40"/>
        <v>0</v>
      </c>
      <c r="P134" s="162">
        <f t="shared" si="41"/>
        <v>0</v>
      </c>
    </row>
    <row r="135" spans="2:16">
      <c r="B135" s="9" t="str">
        <f t="shared" si="26"/>
        <v/>
      </c>
      <c r="C135" s="157">
        <f>IF(D93="","-",+C134+1)</f>
        <v>2046</v>
      </c>
      <c r="D135" s="158">
        <f>IF(F134+SUM(E$99:E134)=D$92,F134,D$92-SUM(E$99:E134))</f>
        <v>19248.5</v>
      </c>
      <c r="E135" s="165">
        <f>IF(+J96&lt;F134,J96,D135)</f>
        <v>2246</v>
      </c>
      <c r="F135" s="163">
        <f t="shared" si="34"/>
        <v>17002.5</v>
      </c>
      <c r="G135" s="163">
        <f t="shared" si="35"/>
        <v>18125.5</v>
      </c>
      <c r="H135" s="167">
        <f t="shared" si="36"/>
        <v>4108.1335165213022</v>
      </c>
      <c r="I135" s="317">
        <f t="shared" si="37"/>
        <v>4108.1335165213022</v>
      </c>
      <c r="J135" s="162">
        <f t="shared" si="38"/>
        <v>0</v>
      </c>
      <c r="K135" s="162"/>
      <c r="L135" s="335"/>
      <c r="M135" s="162">
        <f t="shared" si="39"/>
        <v>0</v>
      </c>
      <c r="N135" s="335"/>
      <c r="O135" s="162">
        <f t="shared" si="40"/>
        <v>0</v>
      </c>
      <c r="P135" s="162">
        <f t="shared" si="41"/>
        <v>0</v>
      </c>
    </row>
    <row r="136" spans="2:16">
      <c r="B136" s="9" t="str">
        <f t="shared" si="26"/>
        <v/>
      </c>
      <c r="C136" s="157">
        <f>IF(D93="","-",+C135+1)</f>
        <v>2047</v>
      </c>
      <c r="D136" s="158">
        <f>IF(F135+SUM(E$99:E135)=D$92,F135,D$92-SUM(E$99:E135))</f>
        <v>17002.5</v>
      </c>
      <c r="E136" s="165">
        <f>IF(+J96&lt;F135,J96,D136)</f>
        <v>2246</v>
      </c>
      <c r="F136" s="163">
        <f t="shared" si="34"/>
        <v>14756.5</v>
      </c>
      <c r="G136" s="163">
        <f t="shared" si="35"/>
        <v>15879.5</v>
      </c>
      <c r="H136" s="167">
        <f t="shared" si="36"/>
        <v>3877.389433428044</v>
      </c>
      <c r="I136" s="317">
        <f t="shared" si="37"/>
        <v>3877.389433428044</v>
      </c>
      <c r="J136" s="162">
        <f t="shared" si="38"/>
        <v>0</v>
      </c>
      <c r="K136" s="162"/>
      <c r="L136" s="335"/>
      <c r="M136" s="162">
        <f t="shared" si="39"/>
        <v>0</v>
      </c>
      <c r="N136" s="335"/>
      <c r="O136" s="162">
        <f t="shared" si="40"/>
        <v>0</v>
      </c>
      <c r="P136" s="162">
        <f t="shared" si="41"/>
        <v>0</v>
      </c>
    </row>
    <row r="137" spans="2:16">
      <c r="B137" s="9" t="str">
        <f t="shared" si="26"/>
        <v/>
      </c>
      <c r="C137" s="157">
        <f>IF(D93="","-",+C136+1)</f>
        <v>2048</v>
      </c>
      <c r="D137" s="158">
        <f>IF(F136+SUM(E$99:E136)=D$92,F136,D$92-SUM(E$99:E136))</f>
        <v>14756.5</v>
      </c>
      <c r="E137" s="165">
        <f>IF(+J96&lt;F136,J96,D137)</f>
        <v>2246</v>
      </c>
      <c r="F137" s="163">
        <f t="shared" si="34"/>
        <v>12510.5</v>
      </c>
      <c r="G137" s="163">
        <f t="shared" si="35"/>
        <v>13633.5</v>
      </c>
      <c r="H137" s="167">
        <f t="shared" si="36"/>
        <v>3646.6453503347866</v>
      </c>
      <c r="I137" s="317">
        <f t="shared" si="37"/>
        <v>3646.6453503347866</v>
      </c>
      <c r="J137" s="162">
        <f t="shared" si="38"/>
        <v>0</v>
      </c>
      <c r="K137" s="162"/>
      <c r="L137" s="335"/>
      <c r="M137" s="162">
        <f t="shared" si="39"/>
        <v>0</v>
      </c>
      <c r="N137" s="335"/>
      <c r="O137" s="162">
        <f t="shared" si="40"/>
        <v>0</v>
      </c>
      <c r="P137" s="162">
        <f t="shared" si="41"/>
        <v>0</v>
      </c>
    </row>
    <row r="138" spans="2:16">
      <c r="B138" s="9" t="str">
        <f t="shared" si="26"/>
        <v/>
      </c>
      <c r="C138" s="157">
        <f>IF(D93="","-",+C137+1)</f>
        <v>2049</v>
      </c>
      <c r="D138" s="158">
        <f>IF(F137+SUM(E$99:E137)=D$92,F137,D$92-SUM(E$99:E137))</f>
        <v>12510.5</v>
      </c>
      <c r="E138" s="165">
        <f>IF(+J96&lt;F137,J96,D138)</f>
        <v>2246</v>
      </c>
      <c r="F138" s="163">
        <f t="shared" si="34"/>
        <v>10264.5</v>
      </c>
      <c r="G138" s="163">
        <f t="shared" si="35"/>
        <v>11387.5</v>
      </c>
      <c r="H138" s="167">
        <f t="shared" si="36"/>
        <v>3415.9012672415283</v>
      </c>
      <c r="I138" s="317">
        <f t="shared" si="37"/>
        <v>3415.9012672415283</v>
      </c>
      <c r="J138" s="162">
        <f t="shared" si="38"/>
        <v>0</v>
      </c>
      <c r="K138" s="162"/>
      <c r="L138" s="335"/>
      <c r="M138" s="162">
        <f t="shared" si="39"/>
        <v>0</v>
      </c>
      <c r="N138" s="335"/>
      <c r="O138" s="162">
        <f t="shared" si="40"/>
        <v>0</v>
      </c>
      <c r="P138" s="162">
        <f t="shared" si="41"/>
        <v>0</v>
      </c>
    </row>
    <row r="139" spans="2:16">
      <c r="B139" s="9" t="str">
        <f t="shared" si="26"/>
        <v/>
      </c>
      <c r="C139" s="157">
        <f>IF(D93="","-",+C138+1)</f>
        <v>2050</v>
      </c>
      <c r="D139" s="158">
        <f>IF(F138+SUM(E$99:E138)=D$92,F138,D$92-SUM(E$99:E138))</f>
        <v>10264.5</v>
      </c>
      <c r="E139" s="165">
        <f>IF(+J96&lt;F138,J96,D139)</f>
        <v>2246</v>
      </c>
      <c r="F139" s="163">
        <f t="shared" si="34"/>
        <v>8018.5</v>
      </c>
      <c r="G139" s="163">
        <f t="shared" si="35"/>
        <v>9141.5</v>
      </c>
      <c r="H139" s="167">
        <f t="shared" si="36"/>
        <v>3185.157184148271</v>
      </c>
      <c r="I139" s="317">
        <f t="shared" si="37"/>
        <v>3185.157184148271</v>
      </c>
      <c r="J139" s="162">
        <f t="shared" si="38"/>
        <v>0</v>
      </c>
      <c r="K139" s="162"/>
      <c r="L139" s="335"/>
      <c r="M139" s="162">
        <f t="shared" si="39"/>
        <v>0</v>
      </c>
      <c r="N139" s="335"/>
      <c r="O139" s="162">
        <f t="shared" si="40"/>
        <v>0</v>
      </c>
      <c r="P139" s="162">
        <f t="shared" si="41"/>
        <v>0</v>
      </c>
    </row>
    <row r="140" spans="2:16">
      <c r="B140" s="9" t="str">
        <f t="shared" si="26"/>
        <v/>
      </c>
      <c r="C140" s="157">
        <f>IF(D93="","-",+C139+1)</f>
        <v>2051</v>
      </c>
      <c r="D140" s="158">
        <f>IF(F139+SUM(E$99:E139)=D$92,F139,D$92-SUM(E$99:E139))</f>
        <v>8018.5</v>
      </c>
      <c r="E140" s="165">
        <f>IF(+J96&lt;F139,J96,D140)</f>
        <v>2246</v>
      </c>
      <c r="F140" s="163">
        <f t="shared" si="34"/>
        <v>5772.5</v>
      </c>
      <c r="G140" s="163">
        <f t="shared" si="35"/>
        <v>6895.5</v>
      </c>
      <c r="H140" s="167">
        <f t="shared" si="36"/>
        <v>2954.4131010550127</v>
      </c>
      <c r="I140" s="317">
        <f t="shared" si="37"/>
        <v>2954.4131010550127</v>
      </c>
      <c r="J140" s="162">
        <f t="shared" si="38"/>
        <v>0</v>
      </c>
      <c r="K140" s="162"/>
      <c r="L140" s="335"/>
      <c r="M140" s="162">
        <f t="shared" si="39"/>
        <v>0</v>
      </c>
      <c r="N140" s="335"/>
      <c r="O140" s="162">
        <f t="shared" si="40"/>
        <v>0</v>
      </c>
      <c r="P140" s="162">
        <f t="shared" si="41"/>
        <v>0</v>
      </c>
    </row>
    <row r="141" spans="2:16">
      <c r="B141" s="9" t="str">
        <f t="shared" si="26"/>
        <v/>
      </c>
      <c r="C141" s="157">
        <f>IF(D93="","-",+C140+1)</f>
        <v>2052</v>
      </c>
      <c r="D141" s="158">
        <f>IF(F140+SUM(E$99:E140)=D$92,F140,D$92-SUM(E$99:E140))</f>
        <v>5772.5</v>
      </c>
      <c r="E141" s="165">
        <f>IF(+J96&lt;F140,J96,D141)</f>
        <v>2246</v>
      </c>
      <c r="F141" s="163">
        <f t="shared" si="34"/>
        <v>3526.5</v>
      </c>
      <c r="G141" s="163">
        <f t="shared" si="35"/>
        <v>4649.5</v>
      </c>
      <c r="H141" s="167">
        <f t="shared" si="36"/>
        <v>2723.6690179617553</v>
      </c>
      <c r="I141" s="317">
        <f t="shared" si="37"/>
        <v>2723.6690179617553</v>
      </c>
      <c r="J141" s="162">
        <f t="shared" si="38"/>
        <v>0</v>
      </c>
      <c r="K141" s="162"/>
      <c r="L141" s="335"/>
      <c r="M141" s="162">
        <f t="shared" si="39"/>
        <v>0</v>
      </c>
      <c r="N141" s="335"/>
      <c r="O141" s="162">
        <f t="shared" si="40"/>
        <v>0</v>
      </c>
      <c r="P141" s="162">
        <f t="shared" si="41"/>
        <v>0</v>
      </c>
    </row>
    <row r="142" spans="2:16">
      <c r="B142" s="9" t="str">
        <f t="shared" si="26"/>
        <v/>
      </c>
      <c r="C142" s="157">
        <f>IF(D93="","-",+C141+1)</f>
        <v>2053</v>
      </c>
      <c r="D142" s="158">
        <f>IF(F141+SUM(E$99:E141)=D$92,F141,D$92-SUM(E$99:E141))</f>
        <v>3526.5</v>
      </c>
      <c r="E142" s="165">
        <f>IF(+J96&lt;F141,J96,D142)</f>
        <v>2246</v>
      </c>
      <c r="F142" s="163">
        <f t="shared" si="34"/>
        <v>1280.5</v>
      </c>
      <c r="G142" s="163">
        <f t="shared" si="35"/>
        <v>2403.5</v>
      </c>
      <c r="H142" s="167">
        <f t="shared" si="36"/>
        <v>2492.9249348684975</v>
      </c>
      <c r="I142" s="317">
        <f t="shared" si="37"/>
        <v>2492.9249348684975</v>
      </c>
      <c r="J142" s="162">
        <f t="shared" si="38"/>
        <v>0</v>
      </c>
      <c r="K142" s="162"/>
      <c r="L142" s="335"/>
      <c r="M142" s="162">
        <f t="shared" si="39"/>
        <v>0</v>
      </c>
      <c r="N142" s="335"/>
      <c r="O142" s="162">
        <f t="shared" si="40"/>
        <v>0</v>
      </c>
      <c r="P142" s="162">
        <f t="shared" si="41"/>
        <v>0</v>
      </c>
    </row>
    <row r="143" spans="2:16">
      <c r="B143" s="9" t="str">
        <f t="shared" si="26"/>
        <v/>
      </c>
      <c r="C143" s="157">
        <f>IF(D93="","-",+C142+1)</f>
        <v>2054</v>
      </c>
      <c r="D143" s="158">
        <f>IF(F142+SUM(E$99:E142)=D$92,F142,D$92-SUM(E$99:E142))</f>
        <v>1280.5</v>
      </c>
      <c r="E143" s="165">
        <f>IF(+J96&lt;F142,J96,D143)</f>
        <v>1280.5</v>
      </c>
      <c r="F143" s="163">
        <f t="shared" si="34"/>
        <v>0</v>
      </c>
      <c r="G143" s="163">
        <f t="shared" si="35"/>
        <v>640.25</v>
      </c>
      <c r="H143" s="167">
        <f t="shared" si="36"/>
        <v>1346.2764466609342</v>
      </c>
      <c r="I143" s="317">
        <f t="shared" si="37"/>
        <v>1346.2764466609342</v>
      </c>
      <c r="J143" s="162">
        <f t="shared" si="38"/>
        <v>0</v>
      </c>
      <c r="K143" s="162"/>
      <c r="L143" s="335"/>
      <c r="M143" s="162">
        <f t="shared" si="39"/>
        <v>0</v>
      </c>
      <c r="N143" s="335"/>
      <c r="O143" s="162">
        <f t="shared" si="40"/>
        <v>0</v>
      </c>
      <c r="P143" s="162">
        <f t="shared" si="41"/>
        <v>0</v>
      </c>
    </row>
    <row r="144" spans="2:16">
      <c r="B144" s="9" t="str">
        <f t="shared" si="26"/>
        <v/>
      </c>
      <c r="C144" s="157">
        <f>IF(D93="","-",+C143+1)</f>
        <v>2055</v>
      </c>
      <c r="D144" s="158">
        <f>IF(F143+SUM(E$99:E143)=D$92,F143,D$92-SUM(E$99:E143))</f>
        <v>0</v>
      </c>
      <c r="E144" s="165">
        <f>IF(+J96&lt;F143,J96,D144)</f>
        <v>0</v>
      </c>
      <c r="F144" s="163">
        <f t="shared" si="34"/>
        <v>0</v>
      </c>
      <c r="G144" s="163">
        <f t="shared" si="35"/>
        <v>0</v>
      </c>
      <c r="H144" s="167">
        <f t="shared" si="36"/>
        <v>0</v>
      </c>
      <c r="I144" s="317">
        <f t="shared" si="37"/>
        <v>0</v>
      </c>
      <c r="J144" s="162">
        <f t="shared" si="38"/>
        <v>0</v>
      </c>
      <c r="K144" s="162"/>
      <c r="L144" s="335"/>
      <c r="M144" s="162">
        <f t="shared" si="39"/>
        <v>0</v>
      </c>
      <c r="N144" s="335"/>
      <c r="O144" s="162">
        <f t="shared" si="40"/>
        <v>0</v>
      </c>
      <c r="P144" s="162">
        <f t="shared" si="41"/>
        <v>0</v>
      </c>
    </row>
    <row r="145" spans="2:16">
      <c r="B145" s="9" t="str">
        <f t="shared" si="26"/>
        <v/>
      </c>
      <c r="C145" s="157">
        <f>IF(D93="","-",+C144+1)</f>
        <v>2056</v>
      </c>
      <c r="D145" s="158">
        <f>IF(F144+SUM(E$99:E144)=D$92,F144,D$92-SUM(E$99:E144))</f>
        <v>0</v>
      </c>
      <c r="E145" s="165">
        <f>IF(+J96&lt;F144,J96,D145)</f>
        <v>0</v>
      </c>
      <c r="F145" s="163">
        <f t="shared" si="34"/>
        <v>0</v>
      </c>
      <c r="G145" s="163">
        <f t="shared" si="35"/>
        <v>0</v>
      </c>
      <c r="H145" s="167">
        <f t="shared" si="36"/>
        <v>0</v>
      </c>
      <c r="I145" s="317">
        <f t="shared" si="37"/>
        <v>0</v>
      </c>
      <c r="J145" s="162">
        <f t="shared" si="38"/>
        <v>0</v>
      </c>
      <c r="K145" s="162"/>
      <c r="L145" s="335"/>
      <c r="M145" s="162">
        <f t="shared" si="39"/>
        <v>0</v>
      </c>
      <c r="N145" s="335"/>
      <c r="O145" s="162">
        <f t="shared" si="40"/>
        <v>0</v>
      </c>
      <c r="P145" s="162">
        <f t="shared" si="41"/>
        <v>0</v>
      </c>
    </row>
    <row r="146" spans="2:16">
      <c r="B146" s="9" t="str">
        <f t="shared" si="26"/>
        <v/>
      </c>
      <c r="C146" s="157">
        <f>IF(D93="","-",+C145+1)</f>
        <v>2057</v>
      </c>
      <c r="D146" s="158">
        <f>IF(F145+SUM(E$99:E145)=D$92,F145,D$92-SUM(E$99:E145))</f>
        <v>0</v>
      </c>
      <c r="E146" s="165">
        <f>IF(+J96&lt;F145,J96,D146)</f>
        <v>0</v>
      </c>
      <c r="F146" s="163">
        <f t="shared" ref="F146:F154" si="42">+D146-E146</f>
        <v>0</v>
      </c>
      <c r="G146" s="163">
        <f t="shared" ref="G146:G154" si="43">+(F146+D146)/2</f>
        <v>0</v>
      </c>
      <c r="H146" s="167">
        <f t="shared" si="36"/>
        <v>0</v>
      </c>
      <c r="I146" s="317">
        <f t="shared" si="37"/>
        <v>0</v>
      </c>
      <c r="J146" s="162">
        <f t="shared" si="38"/>
        <v>0</v>
      </c>
      <c r="K146" s="162"/>
      <c r="L146" s="335"/>
      <c r="M146" s="162">
        <f t="shared" si="39"/>
        <v>0</v>
      </c>
      <c r="N146" s="335"/>
      <c r="O146" s="162">
        <f t="shared" si="40"/>
        <v>0</v>
      </c>
      <c r="P146" s="162">
        <f t="shared" si="41"/>
        <v>0</v>
      </c>
    </row>
    <row r="147" spans="2:16">
      <c r="B147" s="9" t="str">
        <f t="shared" si="26"/>
        <v/>
      </c>
      <c r="C147" s="157">
        <f>IF(D93="","-",+C146+1)</f>
        <v>2058</v>
      </c>
      <c r="D147" s="158">
        <f>IF(F146+SUM(E$99:E146)=D$92,F146,D$92-SUM(E$99:E146))</f>
        <v>0</v>
      </c>
      <c r="E147" s="165">
        <f>IF(+J96&lt;F146,J96,D147)</f>
        <v>0</v>
      </c>
      <c r="F147" s="163">
        <f t="shared" si="42"/>
        <v>0</v>
      </c>
      <c r="G147" s="163">
        <f t="shared" si="43"/>
        <v>0</v>
      </c>
      <c r="H147" s="167">
        <f t="shared" si="36"/>
        <v>0</v>
      </c>
      <c r="I147" s="317">
        <f t="shared" si="37"/>
        <v>0</v>
      </c>
      <c r="J147" s="162">
        <f t="shared" si="38"/>
        <v>0</v>
      </c>
      <c r="K147" s="162"/>
      <c r="L147" s="335"/>
      <c r="M147" s="162">
        <f t="shared" si="39"/>
        <v>0</v>
      </c>
      <c r="N147" s="335"/>
      <c r="O147" s="162">
        <f t="shared" si="40"/>
        <v>0</v>
      </c>
      <c r="P147" s="162">
        <f t="shared" si="41"/>
        <v>0</v>
      </c>
    </row>
    <row r="148" spans="2:16">
      <c r="B148" s="9" t="str">
        <f t="shared" si="26"/>
        <v/>
      </c>
      <c r="C148" s="157">
        <f>IF(D93="","-",+C147+1)</f>
        <v>2059</v>
      </c>
      <c r="D148" s="158">
        <f>IF(F147+SUM(E$99:E147)=D$92,F147,D$92-SUM(E$99:E147))</f>
        <v>0</v>
      </c>
      <c r="E148" s="165">
        <f>IF(+J96&lt;F147,J96,D148)</f>
        <v>0</v>
      </c>
      <c r="F148" s="163">
        <f t="shared" si="42"/>
        <v>0</v>
      </c>
      <c r="G148" s="163">
        <f t="shared" si="43"/>
        <v>0</v>
      </c>
      <c r="H148" s="167">
        <f t="shared" si="36"/>
        <v>0</v>
      </c>
      <c r="I148" s="317">
        <f t="shared" si="37"/>
        <v>0</v>
      </c>
      <c r="J148" s="162">
        <f t="shared" si="38"/>
        <v>0</v>
      </c>
      <c r="K148" s="162"/>
      <c r="L148" s="335"/>
      <c r="M148" s="162">
        <f t="shared" si="39"/>
        <v>0</v>
      </c>
      <c r="N148" s="335"/>
      <c r="O148" s="162">
        <f t="shared" si="40"/>
        <v>0</v>
      </c>
      <c r="P148" s="162">
        <f t="shared" si="41"/>
        <v>0</v>
      </c>
    </row>
    <row r="149" spans="2:16">
      <c r="B149" s="9" t="str">
        <f t="shared" si="26"/>
        <v/>
      </c>
      <c r="C149" s="157">
        <f>IF(D93="","-",+C148+1)</f>
        <v>2060</v>
      </c>
      <c r="D149" s="158">
        <f>IF(F148+SUM(E$99:E148)=D$92,F148,D$92-SUM(E$99:E148))</f>
        <v>0</v>
      </c>
      <c r="E149" s="165">
        <f>IF(+J96&lt;F148,J96,D149)</f>
        <v>0</v>
      </c>
      <c r="F149" s="163">
        <f t="shared" si="42"/>
        <v>0</v>
      </c>
      <c r="G149" s="163">
        <f t="shared" si="43"/>
        <v>0</v>
      </c>
      <c r="H149" s="167">
        <f t="shared" si="36"/>
        <v>0</v>
      </c>
      <c r="I149" s="317">
        <f t="shared" si="37"/>
        <v>0</v>
      </c>
      <c r="J149" s="162">
        <f t="shared" si="38"/>
        <v>0</v>
      </c>
      <c r="K149" s="162"/>
      <c r="L149" s="335"/>
      <c r="M149" s="162">
        <f t="shared" si="39"/>
        <v>0</v>
      </c>
      <c r="N149" s="335"/>
      <c r="O149" s="162">
        <f t="shared" si="40"/>
        <v>0</v>
      </c>
      <c r="P149" s="162">
        <f t="shared" si="41"/>
        <v>0</v>
      </c>
    </row>
    <row r="150" spans="2:16">
      <c r="B150" s="9" t="str">
        <f t="shared" si="26"/>
        <v/>
      </c>
      <c r="C150" s="157">
        <f>IF(D93="","-",+C149+1)</f>
        <v>2061</v>
      </c>
      <c r="D150" s="158">
        <f>IF(F149+SUM(E$99:E149)=D$92,F149,D$92-SUM(E$99:E149))</f>
        <v>0</v>
      </c>
      <c r="E150" s="165">
        <f>IF(+J96&lt;F149,J96,D150)</f>
        <v>0</v>
      </c>
      <c r="F150" s="163">
        <f t="shared" si="42"/>
        <v>0</v>
      </c>
      <c r="G150" s="163">
        <f t="shared" si="43"/>
        <v>0</v>
      </c>
      <c r="H150" s="167">
        <f t="shared" si="36"/>
        <v>0</v>
      </c>
      <c r="I150" s="317">
        <f t="shared" si="37"/>
        <v>0</v>
      </c>
      <c r="J150" s="162">
        <f t="shared" si="38"/>
        <v>0</v>
      </c>
      <c r="K150" s="162"/>
      <c r="L150" s="335"/>
      <c r="M150" s="162">
        <f t="shared" si="39"/>
        <v>0</v>
      </c>
      <c r="N150" s="335"/>
      <c r="O150" s="162">
        <f t="shared" si="40"/>
        <v>0</v>
      </c>
      <c r="P150" s="162">
        <f t="shared" si="41"/>
        <v>0</v>
      </c>
    </row>
    <row r="151" spans="2:16">
      <c r="B151" s="9" t="str">
        <f t="shared" si="26"/>
        <v/>
      </c>
      <c r="C151" s="157">
        <f>IF(D93="","-",+C150+1)</f>
        <v>2062</v>
      </c>
      <c r="D151" s="158">
        <f>IF(F150+SUM(E$99:E150)=D$92,F150,D$92-SUM(E$99:E150))</f>
        <v>0</v>
      </c>
      <c r="E151" s="165">
        <f>IF(+J96&lt;F150,J96,D151)</f>
        <v>0</v>
      </c>
      <c r="F151" s="163">
        <f t="shared" si="42"/>
        <v>0</v>
      </c>
      <c r="G151" s="163">
        <f t="shared" si="43"/>
        <v>0</v>
      </c>
      <c r="H151" s="167">
        <f t="shared" si="36"/>
        <v>0</v>
      </c>
      <c r="I151" s="317">
        <f t="shared" si="37"/>
        <v>0</v>
      </c>
      <c r="J151" s="162">
        <f t="shared" si="38"/>
        <v>0</v>
      </c>
      <c r="K151" s="162"/>
      <c r="L151" s="335"/>
      <c r="M151" s="162">
        <f t="shared" si="39"/>
        <v>0</v>
      </c>
      <c r="N151" s="335"/>
      <c r="O151" s="162">
        <f t="shared" si="40"/>
        <v>0</v>
      </c>
      <c r="P151" s="162">
        <f t="shared" si="41"/>
        <v>0</v>
      </c>
    </row>
    <row r="152" spans="2:16">
      <c r="B152" s="9" t="str">
        <f t="shared" si="26"/>
        <v/>
      </c>
      <c r="C152" s="157">
        <f>IF(D93="","-",+C151+1)</f>
        <v>2063</v>
      </c>
      <c r="D152" s="158">
        <f>IF(F151+SUM(E$99:E151)=D$92,F151,D$92-SUM(E$99:E151))</f>
        <v>0</v>
      </c>
      <c r="E152" s="165">
        <f>IF(+J96&lt;F151,J96,D152)</f>
        <v>0</v>
      </c>
      <c r="F152" s="163">
        <f t="shared" si="42"/>
        <v>0</v>
      </c>
      <c r="G152" s="163">
        <f t="shared" si="43"/>
        <v>0</v>
      </c>
      <c r="H152" s="167">
        <f t="shared" si="36"/>
        <v>0</v>
      </c>
      <c r="I152" s="317">
        <f t="shared" si="37"/>
        <v>0</v>
      </c>
      <c r="J152" s="162">
        <f t="shared" si="38"/>
        <v>0</v>
      </c>
      <c r="K152" s="162"/>
      <c r="L152" s="335"/>
      <c r="M152" s="162">
        <f t="shared" si="39"/>
        <v>0</v>
      </c>
      <c r="N152" s="335"/>
      <c r="O152" s="162">
        <f t="shared" si="40"/>
        <v>0</v>
      </c>
      <c r="P152" s="162">
        <f t="shared" si="41"/>
        <v>0</v>
      </c>
    </row>
    <row r="153" spans="2:16">
      <c r="B153" s="9" t="str">
        <f t="shared" si="26"/>
        <v/>
      </c>
      <c r="C153" s="157">
        <f>IF(D93="","-",+C152+1)</f>
        <v>2064</v>
      </c>
      <c r="D153" s="158">
        <f>IF(F152+SUM(E$99:E152)=D$92,F152,D$92-SUM(E$99:E152))</f>
        <v>0</v>
      </c>
      <c r="E153" s="165">
        <f>IF(+J96&lt;F152,J96,D153)</f>
        <v>0</v>
      </c>
      <c r="F153" s="163">
        <f t="shared" si="42"/>
        <v>0</v>
      </c>
      <c r="G153" s="163">
        <f t="shared" si="43"/>
        <v>0</v>
      </c>
      <c r="H153" s="167">
        <f t="shared" si="36"/>
        <v>0</v>
      </c>
      <c r="I153" s="317">
        <f t="shared" si="37"/>
        <v>0</v>
      </c>
      <c r="J153" s="162">
        <f t="shared" si="38"/>
        <v>0</v>
      </c>
      <c r="K153" s="162"/>
      <c r="L153" s="335"/>
      <c r="M153" s="162">
        <f t="shared" si="39"/>
        <v>0</v>
      </c>
      <c r="N153" s="335"/>
      <c r="O153" s="162">
        <f t="shared" si="40"/>
        <v>0</v>
      </c>
      <c r="P153" s="162">
        <f t="shared" si="41"/>
        <v>0</v>
      </c>
    </row>
    <row r="154" spans="2:16" ht="13.5" thickBot="1">
      <c r="B154" s="9" t="str">
        <f t="shared" si="26"/>
        <v/>
      </c>
      <c r="C154" s="168">
        <f>IF(D93="","-",+C153+1)</f>
        <v>2065</v>
      </c>
      <c r="D154" s="219">
        <f>IF(F153+SUM(E$99:E153)=D$92,F153,D$92-SUM(E$99:E153))</f>
        <v>0</v>
      </c>
      <c r="E154" s="377">
        <f>IF(+J96&lt;F153,J96,D154)</f>
        <v>0</v>
      </c>
      <c r="F154" s="169">
        <f t="shared" si="42"/>
        <v>0</v>
      </c>
      <c r="G154" s="169">
        <f t="shared" si="43"/>
        <v>0</v>
      </c>
      <c r="H154" s="171">
        <f t="shared" si="36"/>
        <v>0</v>
      </c>
      <c r="I154" s="318">
        <f t="shared" si="37"/>
        <v>0</v>
      </c>
      <c r="J154" s="173">
        <f t="shared" si="38"/>
        <v>0</v>
      </c>
      <c r="K154" s="162"/>
      <c r="L154" s="336"/>
      <c r="M154" s="173">
        <f t="shared" si="39"/>
        <v>0</v>
      </c>
      <c r="N154" s="336"/>
      <c r="O154" s="173">
        <f t="shared" si="40"/>
        <v>0</v>
      </c>
      <c r="P154" s="173">
        <f t="shared" si="41"/>
        <v>0</v>
      </c>
    </row>
    <row r="155" spans="2:16">
      <c r="C155" s="158" t="s">
        <v>72</v>
      </c>
      <c r="D155" s="115"/>
      <c r="E155" s="115">
        <f>SUM(E99:E154)</f>
        <v>96566</v>
      </c>
      <c r="F155" s="115"/>
      <c r="G155" s="115"/>
      <c r="H155" s="115">
        <f>SUM(H99:H154)</f>
        <v>344250.50440138241</v>
      </c>
      <c r="I155" s="115">
        <f>SUM(I99:I154)</f>
        <v>344250.50440138241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phoneticPr fontId="0" type="noConversion"/>
  <conditionalFormatting sqref="C17:C72">
    <cfRule type="cellIs" dxfId="42" priority="1" stopIfTrue="1" operator="equal">
      <formula>$I$10</formula>
    </cfRule>
  </conditionalFormatting>
  <conditionalFormatting sqref="C99:C154">
    <cfRule type="cellIs" dxfId="41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1">
    <tabColor rgb="FF92D050"/>
  </sheetPr>
  <dimension ref="A1:P162"/>
  <sheetViews>
    <sheetView view="pageBreakPreview" zoomScale="75" zoomScaleNormal="100" workbookViewId="0">
      <selection activeCell="I21" sqref="I21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3" width="17.7109375" customWidth="1"/>
    <col min="14" max="14" width="16.7109375" customWidth="1"/>
    <col min="15" max="15" width="18.4257812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"&amp;RIGHT(MID(CELL("filename",$A$1),FIND("]",CELL("filename",$A$1))+1,256),2)&amp;" of "&amp;COUNT('P.001:P.xyz - blank'!$P$3)-1</f>
        <v>PSO Project 11 of 28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6.5" thickBot="1">
      <c r="C4" s="430" t="s">
        <v>253</v>
      </c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275</v>
      </c>
      <c r="L5" s="119"/>
      <c r="M5" s="120"/>
      <c r="N5" s="121">
        <f>VLOOKUP(I10,C17:I72,5)</f>
        <v>156683.13262286683</v>
      </c>
      <c r="P5" s="1"/>
    </row>
    <row r="6" spans="1:16" ht="15.75">
      <c r="C6" s="429" t="s">
        <v>254</v>
      </c>
      <c r="D6" s="2"/>
      <c r="E6" s="1"/>
      <c r="F6" s="1"/>
      <c r="G6" s="1"/>
      <c r="H6" s="122"/>
      <c r="I6" s="122"/>
      <c r="J6" s="123"/>
      <c r="K6" s="124" t="s">
        <v>276</v>
      </c>
      <c r="L6" s="125"/>
      <c r="M6" s="4"/>
      <c r="N6" s="126">
        <f>VLOOKUP(I10,C17:I72,6)</f>
        <v>156683.13262286683</v>
      </c>
      <c r="O6" s="1"/>
      <c r="P6" s="1"/>
    </row>
    <row r="7" spans="1:16" ht="13.5" thickBot="1">
      <c r="C7" s="127" t="s">
        <v>41</v>
      </c>
      <c r="D7" s="343" t="s">
        <v>219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5.75" thickBot="1">
      <c r="C8" s="428"/>
      <c r="D8" s="256" t="str">
        <f>IF(D10&lt;100000,"DOES NOT MEET SPP $100,000 MINIMUM INVESTMENT FOR REGIONAL BPU SHARING.","")</f>
        <v/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43</v>
      </c>
      <c r="D9" s="382" t="s">
        <v>218</v>
      </c>
      <c r="E9" s="427" t="s">
        <v>309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f>1493723*94%</f>
        <v>1404099.6199999999</v>
      </c>
      <c r="E10" s="64" t="s">
        <v>46</v>
      </c>
      <c r="F10" s="137"/>
      <c r="G10" s="139"/>
      <c r="H10" s="139"/>
      <c r="I10" s="140">
        <f>+PSO.WS.F.BPU.ATRR.Projected!L19</f>
        <v>2020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2011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6</v>
      </c>
      <c r="E12" s="141" t="s">
        <v>51</v>
      </c>
      <c r="F12" s="139"/>
      <c r="G12" s="7"/>
      <c r="H12" s="7"/>
      <c r="I12" s="145">
        <f>PSO.WS.F.BPU.ATRR.Projected!$F$81</f>
        <v>0.10800477690995318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42</v>
      </c>
      <c r="E13" s="141" t="s">
        <v>54</v>
      </c>
      <c r="F13" s="139"/>
      <c r="G13" s="7"/>
      <c r="H13" s="7"/>
      <c r="I13" s="145">
        <f>IF(G5="",I12,PSO.WS.F.BPU.ATRR.Projected!$F$80)</f>
        <v>0.10800477690995318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33430.943333333329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277</v>
      </c>
      <c r="H15" s="362" t="s">
        <v>278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2011</v>
      </c>
      <c r="D17" s="366">
        <v>1624000</v>
      </c>
      <c r="E17" s="367">
        <v>15921.568627450981</v>
      </c>
      <c r="F17" s="366">
        <v>1608078.4313725489</v>
      </c>
      <c r="G17" s="367">
        <v>267655.54041850357</v>
      </c>
      <c r="H17" s="370">
        <v>267655.54041850357</v>
      </c>
      <c r="I17" s="160">
        <f>H17-G17</f>
        <v>0</v>
      </c>
      <c r="J17" s="160"/>
      <c r="K17" s="337">
        <f t="shared" ref="K17:K22" si="0">G17</f>
        <v>267655.54041850357</v>
      </c>
      <c r="L17" s="176">
        <f t="shared" ref="L17:L48" si="1">IF(K17&lt;&gt;0,+G17-K17,0)</f>
        <v>0</v>
      </c>
      <c r="M17" s="337">
        <f t="shared" ref="M17:M22" si="2">H17</f>
        <v>267655.54041850357</v>
      </c>
      <c r="N17" s="161">
        <f t="shared" ref="N17:N48" si="3">IF(M17&lt;&gt;0,+H17-M17,0)</f>
        <v>0</v>
      </c>
      <c r="O17" s="162">
        <f t="shared" ref="O17:O48" si="4">+N17-L17</f>
        <v>0</v>
      </c>
      <c r="P17" s="4"/>
    </row>
    <row r="18" spans="2:16">
      <c r="B18" s="9" t="str">
        <f t="shared" ref="B18:B49" si="5">IF(D18=F17,"","IU")</f>
        <v>IU</v>
      </c>
      <c r="C18" s="157">
        <f>IF(D11="","-",+C17+1)</f>
        <v>2012</v>
      </c>
      <c r="D18" s="371">
        <v>1420815.4313725489</v>
      </c>
      <c r="E18" s="368">
        <v>27629.557692307691</v>
      </c>
      <c r="F18" s="371">
        <v>1393185.8736802412</v>
      </c>
      <c r="G18" s="368">
        <v>221570.55769230769</v>
      </c>
      <c r="H18" s="370">
        <v>221570.55769230769</v>
      </c>
      <c r="I18" s="160">
        <f t="shared" ref="I18:I48" si="6">H18-G18</f>
        <v>0</v>
      </c>
      <c r="J18" s="160"/>
      <c r="K18" s="338">
        <f t="shared" si="0"/>
        <v>221570.55769230769</v>
      </c>
      <c r="L18" s="272">
        <f t="shared" si="1"/>
        <v>0</v>
      </c>
      <c r="M18" s="338">
        <f t="shared" si="2"/>
        <v>221570.55769230769</v>
      </c>
      <c r="N18" s="162">
        <f t="shared" si="3"/>
        <v>0</v>
      </c>
      <c r="O18" s="162">
        <f t="shared" si="4"/>
        <v>0</v>
      </c>
      <c r="P18" s="4"/>
    </row>
    <row r="19" spans="2:16">
      <c r="B19" s="9" t="str">
        <f t="shared" si="5"/>
        <v>IU</v>
      </c>
      <c r="C19" s="157">
        <f>IF(D11="","-",+C18+1)</f>
        <v>2013</v>
      </c>
      <c r="D19" s="371">
        <v>1450171.8736802414</v>
      </c>
      <c r="E19" s="368">
        <v>28725.442307692309</v>
      </c>
      <c r="F19" s="371">
        <v>1421446.4313725492</v>
      </c>
      <c r="G19" s="368">
        <v>231717.44230769231</v>
      </c>
      <c r="H19" s="370">
        <v>231717.44230769231</v>
      </c>
      <c r="I19" s="160">
        <v>0</v>
      </c>
      <c r="J19" s="160"/>
      <c r="K19" s="338">
        <f t="shared" si="0"/>
        <v>231717.44230769231</v>
      </c>
      <c r="L19" s="272">
        <f t="shared" ref="L19:L24" si="7">IF(K19&lt;&gt;0,+G19-K19,0)</f>
        <v>0</v>
      </c>
      <c r="M19" s="338">
        <f t="shared" si="2"/>
        <v>231717.44230769231</v>
      </c>
      <c r="N19" s="162">
        <f t="shared" ref="N19:N24" si="8">IF(M19&lt;&gt;0,+H19-M19,0)</f>
        <v>0</v>
      </c>
      <c r="O19" s="162">
        <f t="shared" ref="O19:O24" si="9">+N19-L19</f>
        <v>0</v>
      </c>
      <c r="P19" s="4"/>
    </row>
    <row r="20" spans="2:16">
      <c r="B20" s="9" t="str">
        <f t="shared" si="5"/>
        <v>IU</v>
      </c>
      <c r="C20" s="157">
        <f>IF(D11="","-",+C19+1)</f>
        <v>2014</v>
      </c>
      <c r="D20" s="371">
        <v>1331823.0513725488</v>
      </c>
      <c r="E20" s="368">
        <v>27001.915769230767</v>
      </c>
      <c r="F20" s="371">
        <v>1304821.135603318</v>
      </c>
      <c r="G20" s="368">
        <v>206621.91576923078</v>
      </c>
      <c r="H20" s="370">
        <v>206621.91576923078</v>
      </c>
      <c r="I20" s="160">
        <v>0</v>
      </c>
      <c r="J20" s="160"/>
      <c r="K20" s="338">
        <f t="shared" si="0"/>
        <v>206621.91576923078</v>
      </c>
      <c r="L20" s="272">
        <f t="shared" si="7"/>
        <v>0</v>
      </c>
      <c r="M20" s="338">
        <f t="shared" si="2"/>
        <v>206621.91576923078</v>
      </c>
      <c r="N20" s="162">
        <f t="shared" si="8"/>
        <v>0</v>
      </c>
      <c r="O20" s="162">
        <f t="shared" si="9"/>
        <v>0</v>
      </c>
      <c r="P20" s="4"/>
    </row>
    <row r="21" spans="2:16">
      <c r="B21" s="9" t="str">
        <f t="shared" si="5"/>
        <v/>
      </c>
      <c r="C21" s="157">
        <f>IF(D11="","-",+C20+1)</f>
        <v>2015</v>
      </c>
      <c r="D21" s="371">
        <v>1304821.135603318</v>
      </c>
      <c r="E21" s="368">
        <v>27001.915769230767</v>
      </c>
      <c r="F21" s="371">
        <v>1277819.2198340872</v>
      </c>
      <c r="G21" s="368">
        <v>203176.91576923078</v>
      </c>
      <c r="H21" s="370">
        <v>203176.91576923078</v>
      </c>
      <c r="I21" s="160">
        <v>0</v>
      </c>
      <c r="J21" s="160"/>
      <c r="K21" s="338">
        <f t="shared" si="0"/>
        <v>203176.91576923078</v>
      </c>
      <c r="L21" s="272">
        <f t="shared" si="7"/>
        <v>0</v>
      </c>
      <c r="M21" s="338">
        <f t="shared" si="2"/>
        <v>203176.91576923078</v>
      </c>
      <c r="N21" s="162">
        <f t="shared" si="8"/>
        <v>0</v>
      </c>
      <c r="O21" s="162">
        <f t="shared" si="9"/>
        <v>0</v>
      </c>
      <c r="P21" s="4"/>
    </row>
    <row r="22" spans="2:16">
      <c r="B22" s="9" t="str">
        <f t="shared" si="5"/>
        <v/>
      </c>
      <c r="C22" s="157">
        <f>IF(D11="","-",+C21+1)</f>
        <v>2016</v>
      </c>
      <c r="D22" s="371">
        <v>1277819.2198340872</v>
      </c>
      <c r="E22" s="368">
        <v>27001.915769230767</v>
      </c>
      <c r="F22" s="371">
        <v>1250817.3040648564</v>
      </c>
      <c r="G22" s="368">
        <v>191058.91576923078</v>
      </c>
      <c r="H22" s="370">
        <v>191058.91576923078</v>
      </c>
      <c r="I22" s="160">
        <f t="shared" si="6"/>
        <v>0</v>
      </c>
      <c r="J22" s="160"/>
      <c r="K22" s="338">
        <f t="shared" si="0"/>
        <v>191058.91576923078</v>
      </c>
      <c r="L22" s="272">
        <f t="shared" si="7"/>
        <v>0</v>
      </c>
      <c r="M22" s="338">
        <f t="shared" si="2"/>
        <v>191058.91576923078</v>
      </c>
      <c r="N22" s="162">
        <f t="shared" si="8"/>
        <v>0</v>
      </c>
      <c r="O22" s="162">
        <f t="shared" si="9"/>
        <v>0</v>
      </c>
      <c r="P22" s="4"/>
    </row>
    <row r="23" spans="2:16">
      <c r="B23" s="9" t="str">
        <f t="shared" si="5"/>
        <v/>
      </c>
      <c r="C23" s="157">
        <f>IF(D11="","-",+C22+1)</f>
        <v>2017</v>
      </c>
      <c r="D23" s="371">
        <v>1250817.3040648564</v>
      </c>
      <c r="E23" s="368">
        <v>30523.904782608693</v>
      </c>
      <c r="F23" s="371">
        <v>1220293.3992822478</v>
      </c>
      <c r="G23" s="368">
        <v>185818.9047826087</v>
      </c>
      <c r="H23" s="370">
        <v>185818.9047826087</v>
      </c>
      <c r="I23" s="160">
        <v>0</v>
      </c>
      <c r="J23" s="160"/>
      <c r="K23" s="338">
        <f>G23</f>
        <v>185818.9047826087</v>
      </c>
      <c r="L23" s="272">
        <f t="shared" si="7"/>
        <v>0</v>
      </c>
      <c r="M23" s="338">
        <f>H23</f>
        <v>185818.9047826087</v>
      </c>
      <c r="N23" s="162">
        <f t="shared" si="8"/>
        <v>0</v>
      </c>
      <c r="O23" s="162">
        <f t="shared" si="9"/>
        <v>0</v>
      </c>
      <c r="P23" s="4"/>
    </row>
    <row r="24" spans="2:16">
      <c r="B24" s="9" t="str">
        <f t="shared" si="5"/>
        <v/>
      </c>
      <c r="C24" s="157">
        <f>IF(D11="","-",+C23+1)</f>
        <v>2018</v>
      </c>
      <c r="D24" s="371">
        <v>1220293.3992822478</v>
      </c>
      <c r="E24" s="368">
        <v>31202.213777777775</v>
      </c>
      <c r="F24" s="371">
        <v>1189091.18550447</v>
      </c>
      <c r="G24" s="368">
        <v>192128.21377777777</v>
      </c>
      <c r="H24" s="370">
        <v>192128.21377777777</v>
      </c>
      <c r="I24" s="160">
        <f t="shared" si="6"/>
        <v>0</v>
      </c>
      <c r="J24" s="160"/>
      <c r="K24" s="338">
        <f>G24</f>
        <v>192128.21377777777</v>
      </c>
      <c r="L24" s="272">
        <f t="shared" si="7"/>
        <v>0</v>
      </c>
      <c r="M24" s="338">
        <f>H24</f>
        <v>192128.21377777777</v>
      </c>
      <c r="N24" s="162">
        <f t="shared" si="8"/>
        <v>0</v>
      </c>
      <c r="O24" s="162">
        <f t="shared" si="9"/>
        <v>0</v>
      </c>
      <c r="P24" s="4"/>
    </row>
    <row r="25" spans="2:16">
      <c r="B25" s="9" t="str">
        <f t="shared" si="5"/>
        <v/>
      </c>
      <c r="C25" s="157">
        <f>IF(D11="","-",+C24+1)</f>
        <v>2019</v>
      </c>
      <c r="D25" s="371">
        <v>1189091.18550447</v>
      </c>
      <c r="E25" s="368">
        <v>31202.213777777775</v>
      </c>
      <c r="F25" s="371">
        <v>1157888.9717266923</v>
      </c>
      <c r="G25" s="368">
        <v>187905.21377777777</v>
      </c>
      <c r="H25" s="370">
        <v>187905.21377777777</v>
      </c>
      <c r="I25" s="160">
        <f t="shared" si="6"/>
        <v>0</v>
      </c>
      <c r="J25" s="160"/>
      <c r="K25" s="338">
        <f>G25</f>
        <v>187905.21377777777</v>
      </c>
      <c r="L25" s="272">
        <f t="shared" ref="L25" si="10">IF(K25&lt;&gt;0,+G25-K25,0)</f>
        <v>0</v>
      </c>
      <c r="M25" s="338">
        <f>H25</f>
        <v>187905.21377777777</v>
      </c>
      <c r="N25" s="162">
        <f t="shared" ref="N25" si="11">IF(M25&lt;&gt;0,+H25-M25,0)</f>
        <v>0</v>
      </c>
      <c r="O25" s="162">
        <f t="shared" si="4"/>
        <v>0</v>
      </c>
      <c r="P25" s="4"/>
    </row>
    <row r="26" spans="2:16">
      <c r="B26" s="9" t="str">
        <f t="shared" si="5"/>
        <v/>
      </c>
      <c r="C26" s="157">
        <f>IF(D11="","-",+C25+1)</f>
        <v>2020</v>
      </c>
      <c r="D26" s="163">
        <f>IF(F25+SUM(E$17:E25)=D$10,F25,D$10-SUM(E$17:E25))</f>
        <v>1157888.9717266923</v>
      </c>
      <c r="E26" s="164">
        <f>IF(+I14&lt;F25,I14,D26)</f>
        <v>33430.943333333329</v>
      </c>
      <c r="F26" s="163">
        <f t="shared" ref="F26:F49" si="12">+D26-E26</f>
        <v>1124458.0283933589</v>
      </c>
      <c r="G26" s="165">
        <f t="shared" ref="G26:G72" si="13">(D26+F26)/2*I$12+E26</f>
        <v>156683.13262286683</v>
      </c>
      <c r="H26" s="147">
        <f t="shared" ref="H26:H72" si="14">+(D26+F26)/2*I$13+E26</f>
        <v>156683.13262286683</v>
      </c>
      <c r="I26" s="160">
        <f t="shared" si="6"/>
        <v>0</v>
      </c>
      <c r="J26" s="160"/>
      <c r="K26" s="335"/>
      <c r="L26" s="162">
        <f t="shared" si="1"/>
        <v>0</v>
      </c>
      <c r="M26" s="335"/>
      <c r="N26" s="162">
        <f t="shared" si="3"/>
        <v>0</v>
      </c>
      <c r="O26" s="162">
        <f t="shared" si="4"/>
        <v>0</v>
      </c>
      <c r="P26" s="4"/>
    </row>
    <row r="27" spans="2:16">
      <c r="B27" s="9" t="str">
        <f t="shared" si="5"/>
        <v/>
      </c>
      <c r="C27" s="157">
        <f>IF(D11="","-",+C26+1)</f>
        <v>2021</v>
      </c>
      <c r="D27" s="166">
        <f>IF(F26+SUM(E$17:E26)=D$10,F26,D$10-SUM(E$17:E26))</f>
        <v>1124458.0283933589</v>
      </c>
      <c r="E27" s="164">
        <f>IF(+I14&lt;F26,I14,D27)</f>
        <v>33430.943333333329</v>
      </c>
      <c r="F27" s="163">
        <f t="shared" si="12"/>
        <v>1091027.0850600256</v>
      </c>
      <c r="G27" s="165">
        <f t="shared" si="13"/>
        <v>153072.43104626087</v>
      </c>
      <c r="H27" s="147">
        <f t="shared" si="14"/>
        <v>153072.43104626087</v>
      </c>
      <c r="I27" s="160">
        <f t="shared" si="6"/>
        <v>0</v>
      </c>
      <c r="J27" s="160"/>
      <c r="K27" s="335"/>
      <c r="L27" s="162">
        <f t="shared" si="1"/>
        <v>0</v>
      </c>
      <c r="M27" s="335"/>
      <c r="N27" s="162">
        <f t="shared" si="3"/>
        <v>0</v>
      </c>
      <c r="O27" s="162">
        <f t="shared" si="4"/>
        <v>0</v>
      </c>
      <c r="P27" s="4"/>
    </row>
    <row r="28" spans="2:16">
      <c r="B28" s="9" t="str">
        <f t="shared" si="5"/>
        <v/>
      </c>
      <c r="C28" s="157">
        <f>IF(D11="","-",+C27+1)</f>
        <v>2022</v>
      </c>
      <c r="D28" s="163">
        <f>IF(F27+SUM(E$17:E27)=D$10,F27,D$10-SUM(E$17:E27))</f>
        <v>1091027.0850600256</v>
      </c>
      <c r="E28" s="164">
        <f>IF(+I14&lt;F27,I14,D28)</f>
        <v>33430.943333333329</v>
      </c>
      <c r="F28" s="163">
        <f t="shared" si="12"/>
        <v>1057596.1417266922</v>
      </c>
      <c r="G28" s="165">
        <f t="shared" si="13"/>
        <v>149461.72946965491</v>
      </c>
      <c r="H28" s="147">
        <f t="shared" si="14"/>
        <v>149461.72946965491</v>
      </c>
      <c r="I28" s="160">
        <f t="shared" si="6"/>
        <v>0</v>
      </c>
      <c r="J28" s="160"/>
      <c r="K28" s="335"/>
      <c r="L28" s="162">
        <f t="shared" si="1"/>
        <v>0</v>
      </c>
      <c r="M28" s="335"/>
      <c r="N28" s="162">
        <f t="shared" si="3"/>
        <v>0</v>
      </c>
      <c r="O28" s="162">
        <f t="shared" si="4"/>
        <v>0</v>
      </c>
      <c r="P28" s="4"/>
    </row>
    <row r="29" spans="2:16">
      <c r="B29" s="9" t="str">
        <f t="shared" si="5"/>
        <v/>
      </c>
      <c r="C29" s="157">
        <f>IF(D11="","-",+C28+1)</f>
        <v>2023</v>
      </c>
      <c r="D29" s="163">
        <f>IF(F28+SUM(E$17:E28)=D$10,F28,D$10-SUM(E$17:E28))</f>
        <v>1057596.1417266922</v>
      </c>
      <c r="E29" s="164">
        <f>IF(+I14&lt;F28,I14,D29)</f>
        <v>33430.943333333329</v>
      </c>
      <c r="F29" s="163">
        <f t="shared" si="12"/>
        <v>1024165.1983933588</v>
      </c>
      <c r="G29" s="165">
        <f t="shared" si="13"/>
        <v>145851.02789304897</v>
      </c>
      <c r="H29" s="147">
        <f t="shared" si="14"/>
        <v>145851.02789304897</v>
      </c>
      <c r="I29" s="160">
        <f t="shared" si="6"/>
        <v>0</v>
      </c>
      <c r="J29" s="160"/>
      <c r="K29" s="335"/>
      <c r="L29" s="162">
        <f t="shared" si="1"/>
        <v>0</v>
      </c>
      <c r="M29" s="335"/>
      <c r="N29" s="162">
        <f t="shared" si="3"/>
        <v>0</v>
      </c>
      <c r="O29" s="162">
        <f t="shared" si="4"/>
        <v>0</v>
      </c>
      <c r="P29" s="4"/>
    </row>
    <row r="30" spans="2:16">
      <c r="B30" s="9" t="str">
        <f t="shared" si="5"/>
        <v/>
      </c>
      <c r="C30" s="157">
        <f>IF(D11="","-",+C29+1)</f>
        <v>2024</v>
      </c>
      <c r="D30" s="163">
        <f>IF(F29+SUM(E$17:E29)=D$10,F29,D$10-SUM(E$17:E29))</f>
        <v>1024165.1983933588</v>
      </c>
      <c r="E30" s="164">
        <f>IF(+I14&lt;F29,I14,D30)</f>
        <v>33430.943333333329</v>
      </c>
      <c r="F30" s="163">
        <f t="shared" si="12"/>
        <v>990734.25506002549</v>
      </c>
      <c r="G30" s="165">
        <f t="shared" si="13"/>
        <v>142240.32631644301</v>
      </c>
      <c r="H30" s="147">
        <f t="shared" si="14"/>
        <v>142240.32631644301</v>
      </c>
      <c r="I30" s="160">
        <f t="shared" si="6"/>
        <v>0</v>
      </c>
      <c r="J30" s="160"/>
      <c r="K30" s="335"/>
      <c r="L30" s="162">
        <f t="shared" si="1"/>
        <v>0</v>
      </c>
      <c r="M30" s="335"/>
      <c r="N30" s="162">
        <f t="shared" si="3"/>
        <v>0</v>
      </c>
      <c r="O30" s="162">
        <f t="shared" si="4"/>
        <v>0</v>
      </c>
      <c r="P30" s="4"/>
    </row>
    <row r="31" spans="2:16">
      <c r="B31" s="9" t="str">
        <f t="shared" si="5"/>
        <v/>
      </c>
      <c r="C31" s="157">
        <f>IF(D11="","-",+C30+1)</f>
        <v>2025</v>
      </c>
      <c r="D31" s="163">
        <f>IF(F30+SUM(E$17:E30)=D$10,F30,D$10-SUM(E$17:E30))</f>
        <v>990734.25506002549</v>
      </c>
      <c r="E31" s="164">
        <f>IF(+I14&lt;F30,I14,D31)</f>
        <v>33430.943333333329</v>
      </c>
      <c r="F31" s="163">
        <f t="shared" si="12"/>
        <v>957303.31172669213</v>
      </c>
      <c r="G31" s="165">
        <f t="shared" si="13"/>
        <v>138629.62473983708</v>
      </c>
      <c r="H31" s="147">
        <f t="shared" si="14"/>
        <v>138629.62473983708</v>
      </c>
      <c r="I31" s="160">
        <f t="shared" si="6"/>
        <v>0</v>
      </c>
      <c r="J31" s="160"/>
      <c r="K31" s="335"/>
      <c r="L31" s="162">
        <f t="shared" si="1"/>
        <v>0</v>
      </c>
      <c r="M31" s="335"/>
      <c r="N31" s="162">
        <f t="shared" si="3"/>
        <v>0</v>
      </c>
      <c r="O31" s="162">
        <f t="shared" si="4"/>
        <v>0</v>
      </c>
      <c r="P31" s="4"/>
    </row>
    <row r="32" spans="2:16">
      <c r="B32" s="9" t="str">
        <f t="shared" si="5"/>
        <v/>
      </c>
      <c r="C32" s="157">
        <f>IF(D11="","-",+C31+1)</f>
        <v>2026</v>
      </c>
      <c r="D32" s="163">
        <f>IF(F31+SUM(E$17:E31)=D$10,F31,D$10-SUM(E$17:E31))</f>
        <v>957303.31172669213</v>
      </c>
      <c r="E32" s="164">
        <f>IF(+I14&lt;F31,I14,D32)</f>
        <v>33430.943333333329</v>
      </c>
      <c r="F32" s="163">
        <f t="shared" si="12"/>
        <v>923872.36839335877</v>
      </c>
      <c r="G32" s="165">
        <f t="shared" si="13"/>
        <v>135018.92316323111</v>
      </c>
      <c r="H32" s="147">
        <f t="shared" si="14"/>
        <v>135018.92316323111</v>
      </c>
      <c r="I32" s="160">
        <f t="shared" si="6"/>
        <v>0</v>
      </c>
      <c r="J32" s="160"/>
      <c r="K32" s="335"/>
      <c r="L32" s="162">
        <f t="shared" si="1"/>
        <v>0</v>
      </c>
      <c r="M32" s="335"/>
      <c r="N32" s="162">
        <f t="shared" si="3"/>
        <v>0</v>
      </c>
      <c r="O32" s="162">
        <f t="shared" si="4"/>
        <v>0</v>
      </c>
      <c r="P32" s="4"/>
    </row>
    <row r="33" spans="2:16">
      <c r="B33" s="9" t="str">
        <f t="shared" si="5"/>
        <v/>
      </c>
      <c r="C33" s="157">
        <f>IF(D11="","-",+C32+1)</f>
        <v>2027</v>
      </c>
      <c r="D33" s="163">
        <f>IF(F32+SUM(E$17:E32)=D$10,F32,D$10-SUM(E$17:E32))</f>
        <v>923872.36839335877</v>
      </c>
      <c r="E33" s="164">
        <f>IF(+I14&lt;F32,I14,D33)</f>
        <v>33430.943333333329</v>
      </c>
      <c r="F33" s="163">
        <f t="shared" si="12"/>
        <v>890441.42506002542</v>
      </c>
      <c r="G33" s="165">
        <f t="shared" si="13"/>
        <v>131408.22158662515</v>
      </c>
      <c r="H33" s="147">
        <f t="shared" si="14"/>
        <v>131408.22158662515</v>
      </c>
      <c r="I33" s="160">
        <f t="shared" si="6"/>
        <v>0</v>
      </c>
      <c r="J33" s="160"/>
      <c r="K33" s="335"/>
      <c r="L33" s="162">
        <f t="shared" si="1"/>
        <v>0</v>
      </c>
      <c r="M33" s="335"/>
      <c r="N33" s="162">
        <f t="shared" si="3"/>
        <v>0</v>
      </c>
      <c r="O33" s="162">
        <f t="shared" si="4"/>
        <v>0</v>
      </c>
      <c r="P33" s="4"/>
    </row>
    <row r="34" spans="2:16">
      <c r="B34" s="9" t="str">
        <f t="shared" si="5"/>
        <v/>
      </c>
      <c r="C34" s="157">
        <f>IF(D11="","-",+C33+1)</f>
        <v>2028</v>
      </c>
      <c r="D34" s="163">
        <f>IF(F33+SUM(E$17:E33)=D$10,F33,D$10-SUM(E$17:E33))</f>
        <v>890441.42506002542</v>
      </c>
      <c r="E34" s="164">
        <f>IF(+I14&lt;F33,I14,D34)</f>
        <v>33430.943333333329</v>
      </c>
      <c r="F34" s="163">
        <f t="shared" si="12"/>
        <v>857010.48172669206</v>
      </c>
      <c r="G34" s="165">
        <f t="shared" si="13"/>
        <v>127797.52001001919</v>
      </c>
      <c r="H34" s="147">
        <f t="shared" si="14"/>
        <v>127797.52001001919</v>
      </c>
      <c r="I34" s="160">
        <f t="shared" si="6"/>
        <v>0</v>
      </c>
      <c r="J34" s="160"/>
      <c r="K34" s="335"/>
      <c r="L34" s="162">
        <f t="shared" si="1"/>
        <v>0</v>
      </c>
      <c r="M34" s="335"/>
      <c r="N34" s="162">
        <f t="shared" si="3"/>
        <v>0</v>
      </c>
      <c r="O34" s="162">
        <f t="shared" si="4"/>
        <v>0</v>
      </c>
      <c r="P34" s="4"/>
    </row>
    <row r="35" spans="2:16">
      <c r="B35" s="9" t="str">
        <f t="shared" si="5"/>
        <v/>
      </c>
      <c r="C35" s="157">
        <f>IF(D11="","-",+C34+1)</f>
        <v>2029</v>
      </c>
      <c r="D35" s="163">
        <f>IF(F34+SUM(E$17:E34)=D$10,F34,D$10-SUM(E$17:E34))</f>
        <v>857010.48172669206</v>
      </c>
      <c r="E35" s="164">
        <f>IF(+I14&lt;F34,I14,D35)</f>
        <v>33430.943333333329</v>
      </c>
      <c r="F35" s="163">
        <f t="shared" si="12"/>
        <v>823579.5383933587</v>
      </c>
      <c r="G35" s="165">
        <f t="shared" si="13"/>
        <v>124186.81843341324</v>
      </c>
      <c r="H35" s="147">
        <f t="shared" si="14"/>
        <v>124186.81843341324</v>
      </c>
      <c r="I35" s="160">
        <f t="shared" si="6"/>
        <v>0</v>
      </c>
      <c r="J35" s="160"/>
      <c r="K35" s="335"/>
      <c r="L35" s="162">
        <f t="shared" si="1"/>
        <v>0</v>
      </c>
      <c r="M35" s="335"/>
      <c r="N35" s="162">
        <f t="shared" si="3"/>
        <v>0</v>
      </c>
      <c r="O35" s="162">
        <f t="shared" si="4"/>
        <v>0</v>
      </c>
      <c r="P35" s="4"/>
    </row>
    <row r="36" spans="2:16">
      <c r="B36" s="9" t="str">
        <f t="shared" si="5"/>
        <v/>
      </c>
      <c r="C36" s="157">
        <f>IF(D11="","-",+C35+1)</f>
        <v>2030</v>
      </c>
      <c r="D36" s="163">
        <f>IF(F35+SUM(E$17:E35)=D$10,F35,D$10-SUM(E$17:E35))</f>
        <v>823579.5383933587</v>
      </c>
      <c r="E36" s="164">
        <f>IF(+I14&lt;F35,I14,D36)</f>
        <v>33430.943333333329</v>
      </c>
      <c r="F36" s="163">
        <f t="shared" si="12"/>
        <v>790148.59506002534</v>
      </c>
      <c r="G36" s="165">
        <f t="shared" si="13"/>
        <v>120576.11685680728</v>
      </c>
      <c r="H36" s="147">
        <f t="shared" si="14"/>
        <v>120576.11685680728</v>
      </c>
      <c r="I36" s="160">
        <f t="shared" si="6"/>
        <v>0</v>
      </c>
      <c r="J36" s="160"/>
      <c r="K36" s="335"/>
      <c r="L36" s="162">
        <f t="shared" si="1"/>
        <v>0</v>
      </c>
      <c r="M36" s="335"/>
      <c r="N36" s="162">
        <f t="shared" si="3"/>
        <v>0</v>
      </c>
      <c r="O36" s="162">
        <f t="shared" si="4"/>
        <v>0</v>
      </c>
      <c r="P36" s="4"/>
    </row>
    <row r="37" spans="2:16">
      <c r="B37" s="9" t="str">
        <f t="shared" si="5"/>
        <v/>
      </c>
      <c r="C37" s="157">
        <f>IF(D11="","-",+C36+1)</f>
        <v>2031</v>
      </c>
      <c r="D37" s="163">
        <f>IF(F36+SUM(E$17:E36)=D$10,F36,D$10-SUM(E$17:E36))</f>
        <v>790148.59506002534</v>
      </c>
      <c r="E37" s="164">
        <f>IF(+I14&lt;F36,I14,D37)</f>
        <v>33430.943333333329</v>
      </c>
      <c r="F37" s="163">
        <f t="shared" si="12"/>
        <v>756717.65172669198</v>
      </c>
      <c r="G37" s="165">
        <f t="shared" si="13"/>
        <v>116965.41528020133</v>
      </c>
      <c r="H37" s="147">
        <f t="shared" si="14"/>
        <v>116965.41528020133</v>
      </c>
      <c r="I37" s="160">
        <f t="shared" si="6"/>
        <v>0</v>
      </c>
      <c r="J37" s="160"/>
      <c r="K37" s="335"/>
      <c r="L37" s="162">
        <f t="shared" si="1"/>
        <v>0</v>
      </c>
      <c r="M37" s="335"/>
      <c r="N37" s="162">
        <f t="shared" si="3"/>
        <v>0</v>
      </c>
      <c r="O37" s="162">
        <f t="shared" si="4"/>
        <v>0</v>
      </c>
      <c r="P37" s="4"/>
    </row>
    <row r="38" spans="2:16">
      <c r="B38" s="9" t="str">
        <f t="shared" si="5"/>
        <v/>
      </c>
      <c r="C38" s="157">
        <f>IF(D11="","-",+C37+1)</f>
        <v>2032</v>
      </c>
      <c r="D38" s="163">
        <f>IF(F37+SUM(E$17:E37)=D$10,F37,D$10-SUM(E$17:E37))</f>
        <v>756717.65172669198</v>
      </c>
      <c r="E38" s="164">
        <f>IF(+I14&lt;F37,I14,D38)</f>
        <v>33430.943333333329</v>
      </c>
      <c r="F38" s="163">
        <f t="shared" si="12"/>
        <v>723286.70839335863</v>
      </c>
      <c r="G38" s="165">
        <f t="shared" si="13"/>
        <v>113354.71370359536</v>
      </c>
      <c r="H38" s="147">
        <f t="shared" si="14"/>
        <v>113354.71370359536</v>
      </c>
      <c r="I38" s="160">
        <f t="shared" si="6"/>
        <v>0</v>
      </c>
      <c r="J38" s="160"/>
      <c r="K38" s="335"/>
      <c r="L38" s="162">
        <f t="shared" si="1"/>
        <v>0</v>
      </c>
      <c r="M38" s="335"/>
      <c r="N38" s="162">
        <f t="shared" si="3"/>
        <v>0</v>
      </c>
      <c r="O38" s="162">
        <f t="shared" si="4"/>
        <v>0</v>
      </c>
      <c r="P38" s="4"/>
    </row>
    <row r="39" spans="2:16">
      <c r="B39" s="9" t="str">
        <f t="shared" si="5"/>
        <v/>
      </c>
      <c r="C39" s="157">
        <f>IF(D11="","-",+C38+1)</f>
        <v>2033</v>
      </c>
      <c r="D39" s="163">
        <f>IF(F38+SUM(E$17:E38)=D$10,F38,D$10-SUM(E$17:E38))</f>
        <v>723286.70839335863</v>
      </c>
      <c r="E39" s="164">
        <f>IF(+I14&lt;F38,I14,D39)</f>
        <v>33430.943333333329</v>
      </c>
      <c r="F39" s="163">
        <f t="shared" si="12"/>
        <v>689855.76506002527</v>
      </c>
      <c r="G39" s="165">
        <f t="shared" si="13"/>
        <v>109744.01212698942</v>
      </c>
      <c r="H39" s="147">
        <f t="shared" si="14"/>
        <v>109744.01212698942</v>
      </c>
      <c r="I39" s="160">
        <f t="shared" si="6"/>
        <v>0</v>
      </c>
      <c r="J39" s="160"/>
      <c r="K39" s="335"/>
      <c r="L39" s="162">
        <f t="shared" si="1"/>
        <v>0</v>
      </c>
      <c r="M39" s="335"/>
      <c r="N39" s="162">
        <f t="shared" si="3"/>
        <v>0</v>
      </c>
      <c r="O39" s="162">
        <f t="shared" si="4"/>
        <v>0</v>
      </c>
      <c r="P39" s="4"/>
    </row>
    <row r="40" spans="2:16">
      <c r="B40" s="9" t="str">
        <f t="shared" si="5"/>
        <v/>
      </c>
      <c r="C40" s="157">
        <f>IF(D11="","-",+C39+1)</f>
        <v>2034</v>
      </c>
      <c r="D40" s="163">
        <f>IF(F39+SUM(E$17:E39)=D$10,F39,D$10-SUM(E$17:E39))</f>
        <v>689855.76506002527</v>
      </c>
      <c r="E40" s="164">
        <f>IF(+I14&lt;F39,I14,D40)</f>
        <v>33430.943333333329</v>
      </c>
      <c r="F40" s="163">
        <f t="shared" si="12"/>
        <v>656424.82172669191</v>
      </c>
      <c r="G40" s="165">
        <f t="shared" si="13"/>
        <v>106133.31055038345</v>
      </c>
      <c r="H40" s="147">
        <f t="shared" si="14"/>
        <v>106133.31055038345</v>
      </c>
      <c r="I40" s="160">
        <f t="shared" si="6"/>
        <v>0</v>
      </c>
      <c r="J40" s="160"/>
      <c r="K40" s="335"/>
      <c r="L40" s="162">
        <f t="shared" si="1"/>
        <v>0</v>
      </c>
      <c r="M40" s="335"/>
      <c r="N40" s="162">
        <f t="shared" si="3"/>
        <v>0</v>
      </c>
      <c r="O40" s="162">
        <f t="shared" si="4"/>
        <v>0</v>
      </c>
      <c r="P40" s="4"/>
    </row>
    <row r="41" spans="2:16">
      <c r="B41" s="9" t="str">
        <f t="shared" si="5"/>
        <v/>
      </c>
      <c r="C41" s="157">
        <f>IF(D11="","-",+C40+1)</f>
        <v>2035</v>
      </c>
      <c r="D41" s="163">
        <f>IF(F40+SUM(E$17:E40)=D$10,F40,D$10-SUM(E$17:E40))</f>
        <v>656424.82172669191</v>
      </c>
      <c r="E41" s="164">
        <f>IF(+I14&lt;F40,I14,D41)</f>
        <v>33430.943333333329</v>
      </c>
      <c r="F41" s="163">
        <f t="shared" si="12"/>
        <v>622993.87839335855</v>
      </c>
      <c r="G41" s="165">
        <f t="shared" si="13"/>
        <v>102522.6089737775</v>
      </c>
      <c r="H41" s="147">
        <f t="shared" si="14"/>
        <v>102522.6089737775</v>
      </c>
      <c r="I41" s="160">
        <f t="shared" si="6"/>
        <v>0</v>
      </c>
      <c r="J41" s="160"/>
      <c r="K41" s="335"/>
      <c r="L41" s="162">
        <f t="shared" si="1"/>
        <v>0</v>
      </c>
      <c r="M41" s="335"/>
      <c r="N41" s="162">
        <f t="shared" si="3"/>
        <v>0</v>
      </c>
      <c r="O41" s="162">
        <f t="shared" si="4"/>
        <v>0</v>
      </c>
      <c r="P41" s="4"/>
    </row>
    <row r="42" spans="2:16">
      <c r="B42" s="9" t="str">
        <f t="shared" si="5"/>
        <v/>
      </c>
      <c r="C42" s="157">
        <f>IF(D11="","-",+C41+1)</f>
        <v>2036</v>
      </c>
      <c r="D42" s="163">
        <f>IF(F41+SUM(E$17:E41)=D$10,F41,D$10-SUM(E$17:E41))</f>
        <v>622993.87839335855</v>
      </c>
      <c r="E42" s="164">
        <f>IF(+I14&lt;F41,I14,D42)</f>
        <v>33430.943333333329</v>
      </c>
      <c r="F42" s="163">
        <f t="shared" si="12"/>
        <v>589562.93506002519</v>
      </c>
      <c r="G42" s="165">
        <f t="shared" si="13"/>
        <v>98911.907397171541</v>
      </c>
      <c r="H42" s="147">
        <f t="shared" si="14"/>
        <v>98911.907397171541</v>
      </c>
      <c r="I42" s="160">
        <f t="shared" si="6"/>
        <v>0</v>
      </c>
      <c r="J42" s="160"/>
      <c r="K42" s="335"/>
      <c r="L42" s="162">
        <f t="shared" si="1"/>
        <v>0</v>
      </c>
      <c r="M42" s="335"/>
      <c r="N42" s="162">
        <f t="shared" si="3"/>
        <v>0</v>
      </c>
      <c r="O42" s="162">
        <f t="shared" si="4"/>
        <v>0</v>
      </c>
      <c r="P42" s="4"/>
    </row>
    <row r="43" spans="2:16">
      <c r="B43" s="9" t="str">
        <f t="shared" si="5"/>
        <v/>
      </c>
      <c r="C43" s="157">
        <f>IF(D11="","-",+C42+1)</f>
        <v>2037</v>
      </c>
      <c r="D43" s="163">
        <f>IF(F42+SUM(E$17:E42)=D$10,F42,D$10-SUM(E$17:E42))</f>
        <v>589562.93506002519</v>
      </c>
      <c r="E43" s="164">
        <f>IF(+I14&lt;F42,I14,D43)</f>
        <v>33430.943333333329</v>
      </c>
      <c r="F43" s="163">
        <f t="shared" si="12"/>
        <v>556131.99172669183</v>
      </c>
      <c r="G43" s="165">
        <f t="shared" si="13"/>
        <v>95301.205820565578</v>
      </c>
      <c r="H43" s="147">
        <f t="shared" si="14"/>
        <v>95301.205820565578</v>
      </c>
      <c r="I43" s="160">
        <f t="shared" si="6"/>
        <v>0</v>
      </c>
      <c r="J43" s="160"/>
      <c r="K43" s="335"/>
      <c r="L43" s="162">
        <f t="shared" si="1"/>
        <v>0</v>
      </c>
      <c r="M43" s="335"/>
      <c r="N43" s="162">
        <f t="shared" si="3"/>
        <v>0</v>
      </c>
      <c r="O43" s="162">
        <f t="shared" si="4"/>
        <v>0</v>
      </c>
      <c r="P43" s="4"/>
    </row>
    <row r="44" spans="2:16">
      <c r="B44" s="9" t="str">
        <f t="shared" si="5"/>
        <v/>
      </c>
      <c r="C44" s="157">
        <f>IF(D11="","-",+C43+1)</f>
        <v>2038</v>
      </c>
      <c r="D44" s="163">
        <f>IF(F43+SUM(E$17:E43)=D$10,F43,D$10-SUM(E$17:E43))</f>
        <v>556131.99172669183</v>
      </c>
      <c r="E44" s="164">
        <f>IF(+I14&lt;F43,I14,D44)</f>
        <v>33430.943333333329</v>
      </c>
      <c r="F44" s="163">
        <f t="shared" si="12"/>
        <v>522701.04839335848</v>
      </c>
      <c r="G44" s="165">
        <f t="shared" si="13"/>
        <v>91690.504243959629</v>
      </c>
      <c r="H44" s="147">
        <f t="shared" si="14"/>
        <v>91690.504243959629</v>
      </c>
      <c r="I44" s="160">
        <f t="shared" si="6"/>
        <v>0</v>
      </c>
      <c r="J44" s="160"/>
      <c r="K44" s="335"/>
      <c r="L44" s="162">
        <f t="shared" si="1"/>
        <v>0</v>
      </c>
      <c r="M44" s="335"/>
      <c r="N44" s="162">
        <f t="shared" si="3"/>
        <v>0</v>
      </c>
      <c r="O44" s="162">
        <f t="shared" si="4"/>
        <v>0</v>
      </c>
      <c r="P44" s="4"/>
    </row>
    <row r="45" spans="2:16">
      <c r="B45" s="9" t="str">
        <f t="shared" si="5"/>
        <v/>
      </c>
      <c r="C45" s="157">
        <f>IF(D11="","-",+C44+1)</f>
        <v>2039</v>
      </c>
      <c r="D45" s="163">
        <f>IF(F44+SUM(E$17:E44)=D$10,F44,D$10-SUM(E$17:E44))</f>
        <v>522701.04839335848</v>
      </c>
      <c r="E45" s="164">
        <f>IF(+I14&lt;F44,I14,D45)</f>
        <v>33430.943333333329</v>
      </c>
      <c r="F45" s="163">
        <f t="shared" si="12"/>
        <v>489270.10506002512</v>
      </c>
      <c r="G45" s="165">
        <f t="shared" si="13"/>
        <v>88079.802667353681</v>
      </c>
      <c r="H45" s="147">
        <f t="shared" si="14"/>
        <v>88079.802667353681</v>
      </c>
      <c r="I45" s="160">
        <f t="shared" si="6"/>
        <v>0</v>
      </c>
      <c r="J45" s="160"/>
      <c r="K45" s="335"/>
      <c r="L45" s="162">
        <f t="shared" si="1"/>
        <v>0</v>
      </c>
      <c r="M45" s="335"/>
      <c r="N45" s="162">
        <f t="shared" si="3"/>
        <v>0</v>
      </c>
      <c r="O45" s="162">
        <f t="shared" si="4"/>
        <v>0</v>
      </c>
      <c r="P45" s="4"/>
    </row>
    <row r="46" spans="2:16">
      <c r="B46" s="9" t="str">
        <f t="shared" si="5"/>
        <v/>
      </c>
      <c r="C46" s="157">
        <f>IF(D11="","-",+C45+1)</f>
        <v>2040</v>
      </c>
      <c r="D46" s="163">
        <f>IF(F45+SUM(E$17:E45)=D$10,F45,D$10-SUM(E$17:E45))</f>
        <v>489270.10506002512</v>
      </c>
      <c r="E46" s="164">
        <f>IF(+I14&lt;F45,I14,D46)</f>
        <v>33430.943333333329</v>
      </c>
      <c r="F46" s="163">
        <f t="shared" si="12"/>
        <v>455839.16172669176</v>
      </c>
      <c r="G46" s="165">
        <f t="shared" si="13"/>
        <v>84469.101090747718</v>
      </c>
      <c r="H46" s="147">
        <f t="shared" si="14"/>
        <v>84469.101090747718</v>
      </c>
      <c r="I46" s="160">
        <f t="shared" si="6"/>
        <v>0</v>
      </c>
      <c r="J46" s="160"/>
      <c r="K46" s="335"/>
      <c r="L46" s="162">
        <f t="shared" si="1"/>
        <v>0</v>
      </c>
      <c r="M46" s="335"/>
      <c r="N46" s="162">
        <f t="shared" si="3"/>
        <v>0</v>
      </c>
      <c r="O46" s="162">
        <f t="shared" si="4"/>
        <v>0</v>
      </c>
      <c r="P46" s="4"/>
    </row>
    <row r="47" spans="2:16">
      <c r="B47" s="9" t="str">
        <f t="shared" si="5"/>
        <v/>
      </c>
      <c r="C47" s="157">
        <f>IF(D11="","-",+C46+1)</f>
        <v>2041</v>
      </c>
      <c r="D47" s="163">
        <f>IF(F46+SUM(E$17:E46)=D$10,F46,D$10-SUM(E$17:E46))</f>
        <v>455839.16172669176</v>
      </c>
      <c r="E47" s="164">
        <f>IF(+I14&lt;F46,I14,D47)</f>
        <v>33430.943333333329</v>
      </c>
      <c r="F47" s="163">
        <f t="shared" si="12"/>
        <v>422408.2183933584</v>
      </c>
      <c r="G47" s="165">
        <f t="shared" si="13"/>
        <v>80858.399514141754</v>
      </c>
      <c r="H47" s="147">
        <f t="shared" si="14"/>
        <v>80858.399514141754</v>
      </c>
      <c r="I47" s="160">
        <f t="shared" si="6"/>
        <v>0</v>
      </c>
      <c r="J47" s="160"/>
      <c r="K47" s="335"/>
      <c r="L47" s="162">
        <f t="shared" si="1"/>
        <v>0</v>
      </c>
      <c r="M47" s="335"/>
      <c r="N47" s="162">
        <f t="shared" si="3"/>
        <v>0</v>
      </c>
      <c r="O47" s="162">
        <f t="shared" si="4"/>
        <v>0</v>
      </c>
      <c r="P47" s="4"/>
    </row>
    <row r="48" spans="2:16">
      <c r="B48" s="9" t="str">
        <f t="shared" si="5"/>
        <v/>
      </c>
      <c r="C48" s="157">
        <f>IF(D11="","-",+C47+1)</f>
        <v>2042</v>
      </c>
      <c r="D48" s="163">
        <f>IF(F47+SUM(E$17:E47)=D$10,F47,D$10-SUM(E$17:E47))</f>
        <v>422408.2183933584</v>
      </c>
      <c r="E48" s="164">
        <f>IF(+I14&lt;F47,I14,D48)</f>
        <v>33430.943333333329</v>
      </c>
      <c r="F48" s="163">
        <f t="shared" si="12"/>
        <v>388977.27506002504</v>
      </c>
      <c r="G48" s="165">
        <f t="shared" si="13"/>
        <v>77247.697937535806</v>
      </c>
      <c r="H48" s="147">
        <f t="shared" si="14"/>
        <v>77247.697937535806</v>
      </c>
      <c r="I48" s="160">
        <f t="shared" si="6"/>
        <v>0</v>
      </c>
      <c r="J48" s="160"/>
      <c r="K48" s="335"/>
      <c r="L48" s="162">
        <f t="shared" si="1"/>
        <v>0</v>
      </c>
      <c r="M48" s="335"/>
      <c r="N48" s="162">
        <f t="shared" si="3"/>
        <v>0</v>
      </c>
      <c r="O48" s="162">
        <f t="shared" si="4"/>
        <v>0</v>
      </c>
      <c r="P48" s="4"/>
    </row>
    <row r="49" spans="2:16">
      <c r="B49" s="9" t="str">
        <f t="shared" si="5"/>
        <v/>
      </c>
      <c r="C49" s="157">
        <f>IF(D11="","-",+C48+1)</f>
        <v>2043</v>
      </c>
      <c r="D49" s="163">
        <f>IF(F48+SUM(E$17:E48)=D$10,F48,D$10-SUM(E$17:E48))</f>
        <v>388977.27506002504</v>
      </c>
      <c r="E49" s="164">
        <f>IF(+I14&lt;F48,I14,D49)</f>
        <v>33430.943333333329</v>
      </c>
      <c r="F49" s="163">
        <f t="shared" si="12"/>
        <v>355546.33172669169</v>
      </c>
      <c r="G49" s="165">
        <f t="shared" si="13"/>
        <v>73636.996360929857</v>
      </c>
      <c r="H49" s="147">
        <f t="shared" si="14"/>
        <v>73636.996360929857</v>
      </c>
      <c r="I49" s="160">
        <f t="shared" ref="I49:I72" si="15">H49-G49</f>
        <v>0</v>
      </c>
      <c r="J49" s="160"/>
      <c r="K49" s="335"/>
      <c r="L49" s="162">
        <f t="shared" ref="L49:L72" si="16">IF(K49&lt;&gt;0,+G49-K49,0)</f>
        <v>0</v>
      </c>
      <c r="M49" s="335"/>
      <c r="N49" s="162">
        <f t="shared" ref="N49:N72" si="17">IF(M49&lt;&gt;0,+H49-M49,0)</f>
        <v>0</v>
      </c>
      <c r="O49" s="162">
        <f t="shared" ref="O49:O72" si="18">+N49-L49</f>
        <v>0</v>
      </c>
      <c r="P49" s="4"/>
    </row>
    <row r="50" spans="2:16">
      <c r="B50" s="9" t="str">
        <f t="shared" ref="B50:B72" si="19">IF(D50=F49,"","IU")</f>
        <v/>
      </c>
      <c r="C50" s="157">
        <f>IF(D11="","-",+C49+1)</f>
        <v>2044</v>
      </c>
      <c r="D50" s="163">
        <f>IF(F49+SUM(E$17:E49)=D$10,F49,D$10-SUM(E$17:E49))</f>
        <v>355546.33172669169</v>
      </c>
      <c r="E50" s="164">
        <f>IF(+I14&lt;F49,I14,D50)</f>
        <v>33430.943333333329</v>
      </c>
      <c r="F50" s="163">
        <f t="shared" ref="F50:F72" si="20">+D50-E50</f>
        <v>322115.38839335833</v>
      </c>
      <c r="G50" s="165">
        <f t="shared" si="13"/>
        <v>70026.294784323894</v>
      </c>
      <c r="H50" s="147">
        <f t="shared" si="14"/>
        <v>70026.294784323894</v>
      </c>
      <c r="I50" s="160">
        <f t="shared" si="15"/>
        <v>0</v>
      </c>
      <c r="J50" s="160"/>
      <c r="K50" s="335"/>
      <c r="L50" s="162">
        <f t="shared" si="16"/>
        <v>0</v>
      </c>
      <c r="M50" s="335"/>
      <c r="N50" s="162">
        <f t="shared" si="17"/>
        <v>0</v>
      </c>
      <c r="O50" s="162">
        <f t="shared" si="18"/>
        <v>0</v>
      </c>
      <c r="P50" s="4"/>
    </row>
    <row r="51" spans="2:16">
      <c r="B51" s="9" t="str">
        <f t="shared" si="19"/>
        <v/>
      </c>
      <c r="C51" s="157">
        <f>IF(D11="","-",+C50+1)</f>
        <v>2045</v>
      </c>
      <c r="D51" s="163">
        <f>IF(F50+SUM(E$17:E50)=D$10,F50,D$10-SUM(E$17:E50))</f>
        <v>322115.38839335833</v>
      </c>
      <c r="E51" s="164">
        <f>IF(+I14&lt;F50,I14,D51)</f>
        <v>33430.943333333329</v>
      </c>
      <c r="F51" s="163">
        <f t="shared" si="20"/>
        <v>288684.44506002497</v>
      </c>
      <c r="G51" s="165">
        <f t="shared" si="13"/>
        <v>66415.593207717931</v>
      </c>
      <c r="H51" s="147">
        <f t="shared" si="14"/>
        <v>66415.593207717931</v>
      </c>
      <c r="I51" s="160">
        <f t="shared" si="15"/>
        <v>0</v>
      </c>
      <c r="J51" s="160"/>
      <c r="K51" s="335"/>
      <c r="L51" s="162">
        <f t="shared" si="16"/>
        <v>0</v>
      </c>
      <c r="M51" s="335"/>
      <c r="N51" s="162">
        <f t="shared" si="17"/>
        <v>0</v>
      </c>
      <c r="O51" s="162">
        <f t="shared" si="18"/>
        <v>0</v>
      </c>
      <c r="P51" s="4"/>
    </row>
    <row r="52" spans="2:16">
      <c r="B52" s="9" t="str">
        <f t="shared" si="19"/>
        <v/>
      </c>
      <c r="C52" s="157">
        <f>IF(D11="","-",+C51+1)</f>
        <v>2046</v>
      </c>
      <c r="D52" s="163">
        <f>IF(F51+SUM(E$17:E51)=D$10,F51,D$10-SUM(E$17:E51))</f>
        <v>288684.44506002497</v>
      </c>
      <c r="E52" s="164">
        <f>IF(+I14&lt;F51,I14,D52)</f>
        <v>33430.943333333329</v>
      </c>
      <c r="F52" s="163">
        <f t="shared" si="20"/>
        <v>255253.50172669164</v>
      </c>
      <c r="G52" s="165">
        <f t="shared" si="13"/>
        <v>62804.891631111983</v>
      </c>
      <c r="H52" s="147">
        <f t="shared" si="14"/>
        <v>62804.891631111983</v>
      </c>
      <c r="I52" s="160">
        <f t="shared" si="15"/>
        <v>0</v>
      </c>
      <c r="J52" s="160"/>
      <c r="K52" s="335"/>
      <c r="L52" s="162">
        <f t="shared" si="16"/>
        <v>0</v>
      </c>
      <c r="M52" s="335"/>
      <c r="N52" s="162">
        <f t="shared" si="17"/>
        <v>0</v>
      </c>
      <c r="O52" s="162">
        <f t="shared" si="18"/>
        <v>0</v>
      </c>
      <c r="P52" s="4"/>
    </row>
    <row r="53" spans="2:16">
      <c r="B53" s="9" t="str">
        <f t="shared" si="19"/>
        <v/>
      </c>
      <c r="C53" s="157">
        <f>IF(D11="","-",+C52+1)</f>
        <v>2047</v>
      </c>
      <c r="D53" s="163">
        <f>IF(F52+SUM(E$17:E52)=D$10,F52,D$10-SUM(E$17:E52))</f>
        <v>255253.50172669164</v>
      </c>
      <c r="E53" s="164">
        <f>IF(+I14&lt;F52,I14,D53)</f>
        <v>33430.943333333329</v>
      </c>
      <c r="F53" s="163">
        <f t="shared" si="20"/>
        <v>221822.55839335831</v>
      </c>
      <c r="G53" s="165">
        <f t="shared" si="13"/>
        <v>59194.190054506034</v>
      </c>
      <c r="H53" s="147">
        <f t="shared" si="14"/>
        <v>59194.190054506034</v>
      </c>
      <c r="I53" s="160">
        <f t="shared" si="15"/>
        <v>0</v>
      </c>
      <c r="J53" s="160"/>
      <c r="K53" s="335"/>
      <c r="L53" s="162">
        <f t="shared" si="16"/>
        <v>0</v>
      </c>
      <c r="M53" s="335"/>
      <c r="N53" s="162">
        <f t="shared" si="17"/>
        <v>0</v>
      </c>
      <c r="O53" s="162">
        <f t="shared" si="18"/>
        <v>0</v>
      </c>
      <c r="P53" s="4"/>
    </row>
    <row r="54" spans="2:16">
      <c r="B54" s="9" t="str">
        <f t="shared" si="19"/>
        <v/>
      </c>
      <c r="C54" s="157">
        <f>IF(D11="","-",+C53+1)</f>
        <v>2048</v>
      </c>
      <c r="D54" s="163">
        <f>IF(F53+SUM(E$17:E53)=D$10,F53,D$10-SUM(E$17:E53))</f>
        <v>221822.55839335831</v>
      </c>
      <c r="E54" s="164">
        <f>IF(+I14&lt;F53,I14,D54)</f>
        <v>33430.943333333329</v>
      </c>
      <c r="F54" s="163">
        <f t="shared" si="20"/>
        <v>188391.61506002498</v>
      </c>
      <c r="G54" s="165">
        <f t="shared" si="13"/>
        <v>55583.488477900079</v>
      </c>
      <c r="H54" s="147">
        <f t="shared" si="14"/>
        <v>55583.488477900079</v>
      </c>
      <c r="I54" s="160">
        <f t="shared" si="15"/>
        <v>0</v>
      </c>
      <c r="J54" s="160"/>
      <c r="K54" s="335"/>
      <c r="L54" s="162">
        <f t="shared" si="16"/>
        <v>0</v>
      </c>
      <c r="M54" s="335"/>
      <c r="N54" s="162">
        <f t="shared" si="17"/>
        <v>0</v>
      </c>
      <c r="O54" s="162">
        <f t="shared" si="18"/>
        <v>0</v>
      </c>
      <c r="P54" s="4"/>
    </row>
    <row r="55" spans="2:16">
      <c r="B55" s="9" t="str">
        <f t="shared" si="19"/>
        <v/>
      </c>
      <c r="C55" s="157">
        <f>IF(D11="","-",+C54+1)</f>
        <v>2049</v>
      </c>
      <c r="D55" s="163">
        <f>IF(F54+SUM(E$17:E54)=D$10,F54,D$10-SUM(E$17:E54))</f>
        <v>188391.61506002498</v>
      </c>
      <c r="E55" s="164">
        <f>IF(+I14&lt;F54,I14,D55)</f>
        <v>33430.943333333329</v>
      </c>
      <c r="F55" s="163">
        <f t="shared" si="20"/>
        <v>154960.67172669165</v>
      </c>
      <c r="G55" s="165">
        <f t="shared" si="13"/>
        <v>51972.786901294123</v>
      </c>
      <c r="H55" s="147">
        <f t="shared" si="14"/>
        <v>51972.786901294123</v>
      </c>
      <c r="I55" s="160">
        <f t="shared" si="15"/>
        <v>0</v>
      </c>
      <c r="J55" s="160"/>
      <c r="K55" s="335"/>
      <c r="L55" s="162">
        <f t="shared" si="16"/>
        <v>0</v>
      </c>
      <c r="M55" s="335"/>
      <c r="N55" s="162">
        <f t="shared" si="17"/>
        <v>0</v>
      </c>
      <c r="O55" s="162">
        <f t="shared" si="18"/>
        <v>0</v>
      </c>
      <c r="P55" s="4"/>
    </row>
    <row r="56" spans="2:16">
      <c r="B56" s="9" t="str">
        <f t="shared" si="19"/>
        <v/>
      </c>
      <c r="C56" s="157">
        <f>IF(D11="","-",+C55+1)</f>
        <v>2050</v>
      </c>
      <c r="D56" s="163">
        <f>IF(F55+SUM(E$17:E55)=D$10,F55,D$10-SUM(E$17:E55))</f>
        <v>154960.67172669165</v>
      </c>
      <c r="E56" s="164">
        <f>IF(+I14&lt;F55,I14,D56)</f>
        <v>33430.943333333329</v>
      </c>
      <c r="F56" s="163">
        <f t="shared" si="20"/>
        <v>121529.72839335832</v>
      </c>
      <c r="G56" s="165">
        <f t="shared" si="13"/>
        <v>48362.085324688174</v>
      </c>
      <c r="H56" s="147">
        <f t="shared" si="14"/>
        <v>48362.085324688174</v>
      </c>
      <c r="I56" s="160">
        <f t="shared" si="15"/>
        <v>0</v>
      </c>
      <c r="J56" s="160"/>
      <c r="K56" s="335"/>
      <c r="L56" s="162">
        <f t="shared" si="16"/>
        <v>0</v>
      </c>
      <c r="M56" s="335"/>
      <c r="N56" s="162">
        <f t="shared" si="17"/>
        <v>0</v>
      </c>
      <c r="O56" s="162">
        <f t="shared" si="18"/>
        <v>0</v>
      </c>
      <c r="P56" s="4"/>
    </row>
    <row r="57" spans="2:16">
      <c r="B57" s="9" t="str">
        <f t="shared" si="19"/>
        <v/>
      </c>
      <c r="C57" s="157">
        <f>IF(D11="","-",+C56+1)</f>
        <v>2051</v>
      </c>
      <c r="D57" s="163">
        <f>IF(F56+SUM(E$17:E56)=D$10,F56,D$10-SUM(E$17:E56))</f>
        <v>121529.72839335832</v>
      </c>
      <c r="E57" s="164">
        <f>IF(+I14&lt;F56,I14,D57)</f>
        <v>33430.943333333329</v>
      </c>
      <c r="F57" s="163">
        <f t="shared" si="20"/>
        <v>88098.785060024995</v>
      </c>
      <c r="G57" s="165">
        <f t="shared" si="13"/>
        <v>44751.383748082219</v>
      </c>
      <c r="H57" s="147">
        <f t="shared" si="14"/>
        <v>44751.383748082219</v>
      </c>
      <c r="I57" s="160">
        <f t="shared" si="15"/>
        <v>0</v>
      </c>
      <c r="J57" s="160"/>
      <c r="K57" s="335"/>
      <c r="L57" s="162">
        <f t="shared" si="16"/>
        <v>0</v>
      </c>
      <c r="M57" s="335"/>
      <c r="N57" s="162">
        <f t="shared" si="17"/>
        <v>0</v>
      </c>
      <c r="O57" s="162">
        <f t="shared" si="18"/>
        <v>0</v>
      </c>
      <c r="P57" s="4"/>
    </row>
    <row r="58" spans="2:16">
      <c r="B58" s="9" t="str">
        <f t="shared" si="19"/>
        <v/>
      </c>
      <c r="C58" s="157">
        <f>IF(D11="","-",+C57+1)</f>
        <v>2052</v>
      </c>
      <c r="D58" s="163">
        <f>IF(F57+SUM(E$17:E57)=D$10,F57,D$10-SUM(E$17:E57))</f>
        <v>88098.785060024995</v>
      </c>
      <c r="E58" s="164">
        <f>IF(+I14&lt;F57,I14,D58)</f>
        <v>33430.943333333329</v>
      </c>
      <c r="F58" s="163">
        <f t="shared" si="20"/>
        <v>54667.841726691666</v>
      </c>
      <c r="G58" s="165">
        <f t="shared" si="13"/>
        <v>41140.68217147627</v>
      </c>
      <c r="H58" s="147">
        <f t="shared" si="14"/>
        <v>41140.68217147627</v>
      </c>
      <c r="I58" s="160">
        <f t="shared" si="15"/>
        <v>0</v>
      </c>
      <c r="J58" s="160"/>
      <c r="K58" s="335"/>
      <c r="L58" s="162">
        <f t="shared" si="16"/>
        <v>0</v>
      </c>
      <c r="M58" s="335"/>
      <c r="N58" s="162">
        <f t="shared" si="17"/>
        <v>0</v>
      </c>
      <c r="O58" s="162">
        <f t="shared" si="18"/>
        <v>0</v>
      </c>
      <c r="P58" s="4"/>
    </row>
    <row r="59" spans="2:16">
      <c r="B59" s="9" t="str">
        <f t="shared" si="19"/>
        <v/>
      </c>
      <c r="C59" s="157">
        <f>IF(D11="","-",+C58+1)</f>
        <v>2053</v>
      </c>
      <c r="D59" s="163">
        <f>IF(F58+SUM(E$17:E58)=D$10,F58,D$10-SUM(E$17:E58))</f>
        <v>54667.841726691666</v>
      </c>
      <c r="E59" s="164">
        <f>IF(+I14&lt;F58,I14,D59)</f>
        <v>33430.943333333329</v>
      </c>
      <c r="F59" s="163">
        <f t="shared" si="20"/>
        <v>21236.898393358337</v>
      </c>
      <c r="G59" s="165">
        <f t="shared" si="13"/>
        <v>37529.980594870314</v>
      </c>
      <c r="H59" s="147">
        <f t="shared" si="14"/>
        <v>37529.980594870314</v>
      </c>
      <c r="I59" s="160">
        <f t="shared" si="15"/>
        <v>0</v>
      </c>
      <c r="J59" s="160"/>
      <c r="K59" s="335"/>
      <c r="L59" s="162">
        <f t="shared" si="16"/>
        <v>0</v>
      </c>
      <c r="M59" s="335"/>
      <c r="N59" s="162">
        <f t="shared" si="17"/>
        <v>0</v>
      </c>
      <c r="O59" s="162">
        <f t="shared" si="18"/>
        <v>0</v>
      </c>
      <c r="P59" s="4"/>
    </row>
    <row r="60" spans="2:16">
      <c r="B60" s="9" t="str">
        <f t="shared" si="19"/>
        <v/>
      </c>
      <c r="C60" s="157">
        <f>IF(D11="","-",+C59+1)</f>
        <v>2054</v>
      </c>
      <c r="D60" s="163">
        <f>IF(F59+SUM(E$17:E59)=D$10,F59,D$10-SUM(E$17:E59))</f>
        <v>21236.898393358337</v>
      </c>
      <c r="E60" s="164">
        <f>IF(+I14&lt;F59,I14,D60)</f>
        <v>21236.898393358337</v>
      </c>
      <c r="F60" s="163">
        <f t="shared" si="20"/>
        <v>0</v>
      </c>
      <c r="G60" s="165">
        <f t="shared" si="13"/>
        <v>22383.741629975342</v>
      </c>
      <c r="H60" s="147">
        <f t="shared" si="14"/>
        <v>22383.741629975342</v>
      </c>
      <c r="I60" s="160">
        <f t="shared" si="15"/>
        <v>0</v>
      </c>
      <c r="J60" s="160"/>
      <c r="K60" s="335"/>
      <c r="L60" s="162">
        <f t="shared" si="16"/>
        <v>0</v>
      </c>
      <c r="M60" s="335"/>
      <c r="N60" s="162">
        <f t="shared" si="17"/>
        <v>0</v>
      </c>
      <c r="O60" s="162">
        <f t="shared" si="18"/>
        <v>0</v>
      </c>
      <c r="P60" s="4"/>
    </row>
    <row r="61" spans="2:16">
      <c r="B61" s="9" t="str">
        <f t="shared" si="19"/>
        <v/>
      </c>
      <c r="C61" s="157">
        <f>IF(D11="","-",+C60+1)</f>
        <v>2055</v>
      </c>
      <c r="D61" s="163">
        <f>IF(F60+SUM(E$17:E60)=D$10,F60,D$10-SUM(E$17:E60))</f>
        <v>0</v>
      </c>
      <c r="E61" s="164">
        <f>IF(+I14&lt;F60,I14,D61)</f>
        <v>0</v>
      </c>
      <c r="F61" s="163">
        <f t="shared" si="20"/>
        <v>0</v>
      </c>
      <c r="G61" s="165">
        <f t="shared" si="13"/>
        <v>0</v>
      </c>
      <c r="H61" s="147">
        <f t="shared" si="14"/>
        <v>0</v>
      </c>
      <c r="I61" s="160">
        <f t="shared" si="15"/>
        <v>0</v>
      </c>
      <c r="J61" s="160"/>
      <c r="K61" s="335"/>
      <c r="L61" s="162">
        <f t="shared" si="16"/>
        <v>0</v>
      </c>
      <c r="M61" s="335"/>
      <c r="N61" s="162">
        <f t="shared" si="17"/>
        <v>0</v>
      </c>
      <c r="O61" s="162">
        <f t="shared" si="18"/>
        <v>0</v>
      </c>
      <c r="P61" s="4"/>
    </row>
    <row r="62" spans="2:16">
      <c r="B62" s="9" t="str">
        <f t="shared" si="19"/>
        <v/>
      </c>
      <c r="C62" s="157">
        <f>IF(D11="","-",+C61+1)</f>
        <v>2056</v>
      </c>
      <c r="D62" s="163">
        <f>IF(F61+SUM(E$17:E61)=D$10,F61,D$10-SUM(E$17:E61))</f>
        <v>0</v>
      </c>
      <c r="E62" s="164">
        <f>IF(+I14&lt;F61,I14,D62)</f>
        <v>0</v>
      </c>
      <c r="F62" s="163">
        <f t="shared" si="20"/>
        <v>0</v>
      </c>
      <c r="G62" s="165">
        <f t="shared" si="13"/>
        <v>0</v>
      </c>
      <c r="H62" s="147">
        <f t="shared" si="14"/>
        <v>0</v>
      </c>
      <c r="I62" s="160">
        <f t="shared" si="15"/>
        <v>0</v>
      </c>
      <c r="J62" s="160"/>
      <c r="K62" s="335"/>
      <c r="L62" s="162">
        <f t="shared" si="16"/>
        <v>0</v>
      </c>
      <c r="M62" s="335"/>
      <c r="N62" s="162">
        <f t="shared" si="17"/>
        <v>0</v>
      </c>
      <c r="O62" s="162">
        <f t="shared" si="18"/>
        <v>0</v>
      </c>
      <c r="P62" s="4"/>
    </row>
    <row r="63" spans="2:16">
      <c r="B63" s="9" t="str">
        <f t="shared" si="19"/>
        <v/>
      </c>
      <c r="C63" s="157">
        <f>IF(D11="","-",+C62+1)</f>
        <v>2057</v>
      </c>
      <c r="D63" s="163">
        <f>IF(F62+SUM(E$17:E62)=D$10,F62,D$10-SUM(E$17:E62))</f>
        <v>0</v>
      </c>
      <c r="E63" s="164">
        <f>IF(+I14&lt;F62,I14,D63)</f>
        <v>0</v>
      </c>
      <c r="F63" s="163">
        <f t="shared" si="20"/>
        <v>0</v>
      </c>
      <c r="G63" s="165">
        <f t="shared" si="13"/>
        <v>0</v>
      </c>
      <c r="H63" s="147">
        <f t="shared" si="14"/>
        <v>0</v>
      </c>
      <c r="I63" s="160">
        <f t="shared" si="15"/>
        <v>0</v>
      </c>
      <c r="J63" s="160"/>
      <c r="K63" s="335"/>
      <c r="L63" s="162">
        <f t="shared" si="16"/>
        <v>0</v>
      </c>
      <c r="M63" s="335"/>
      <c r="N63" s="162">
        <f t="shared" si="17"/>
        <v>0</v>
      </c>
      <c r="O63" s="162">
        <f t="shared" si="18"/>
        <v>0</v>
      </c>
      <c r="P63" s="4"/>
    </row>
    <row r="64" spans="2:16">
      <c r="B64" s="9" t="str">
        <f t="shared" si="19"/>
        <v/>
      </c>
      <c r="C64" s="157">
        <f>IF(D11="","-",+C63+1)</f>
        <v>2058</v>
      </c>
      <c r="D64" s="163">
        <f>IF(F63+SUM(E$17:E63)=D$10,F63,D$10-SUM(E$17:E63))</f>
        <v>0</v>
      </c>
      <c r="E64" s="164">
        <f>IF(+I14&lt;F63,I14,D64)</f>
        <v>0</v>
      </c>
      <c r="F64" s="163">
        <f t="shared" si="20"/>
        <v>0</v>
      </c>
      <c r="G64" s="165">
        <f t="shared" si="13"/>
        <v>0</v>
      </c>
      <c r="H64" s="147">
        <f t="shared" si="14"/>
        <v>0</v>
      </c>
      <c r="I64" s="160">
        <f t="shared" si="15"/>
        <v>0</v>
      </c>
      <c r="J64" s="160"/>
      <c r="K64" s="335"/>
      <c r="L64" s="162">
        <f t="shared" si="16"/>
        <v>0</v>
      </c>
      <c r="M64" s="335"/>
      <c r="N64" s="162">
        <f t="shared" si="17"/>
        <v>0</v>
      </c>
      <c r="O64" s="162">
        <f t="shared" si="18"/>
        <v>0</v>
      </c>
      <c r="P64" s="4"/>
    </row>
    <row r="65" spans="2:16">
      <c r="B65" s="9" t="str">
        <f t="shared" si="19"/>
        <v/>
      </c>
      <c r="C65" s="157">
        <f>IF(D11="","-",+C64+1)</f>
        <v>2059</v>
      </c>
      <c r="D65" s="163">
        <f>IF(F64+SUM(E$17:E64)=D$10,F64,D$10-SUM(E$17:E64))</f>
        <v>0</v>
      </c>
      <c r="E65" s="164">
        <f>IF(+I14&lt;F64,I14,D65)</f>
        <v>0</v>
      </c>
      <c r="F65" s="163">
        <f t="shared" si="20"/>
        <v>0</v>
      </c>
      <c r="G65" s="165">
        <f t="shared" si="13"/>
        <v>0</v>
      </c>
      <c r="H65" s="147">
        <f t="shared" si="14"/>
        <v>0</v>
      </c>
      <c r="I65" s="160">
        <f t="shared" si="15"/>
        <v>0</v>
      </c>
      <c r="J65" s="160"/>
      <c r="K65" s="335"/>
      <c r="L65" s="162">
        <f t="shared" si="16"/>
        <v>0</v>
      </c>
      <c r="M65" s="335"/>
      <c r="N65" s="162">
        <f t="shared" si="17"/>
        <v>0</v>
      </c>
      <c r="O65" s="162">
        <f t="shared" si="18"/>
        <v>0</v>
      </c>
      <c r="P65" s="4"/>
    </row>
    <row r="66" spans="2:16">
      <c r="B66" s="9" t="str">
        <f t="shared" si="19"/>
        <v/>
      </c>
      <c r="C66" s="157">
        <f>IF(D11="","-",+C65+1)</f>
        <v>2060</v>
      </c>
      <c r="D66" s="163">
        <f>IF(F65+SUM(E$17:E65)=D$10,F65,D$10-SUM(E$17:E65))</f>
        <v>0</v>
      </c>
      <c r="E66" s="164">
        <f>IF(+I14&lt;F65,I14,D66)</f>
        <v>0</v>
      </c>
      <c r="F66" s="163">
        <f t="shared" si="20"/>
        <v>0</v>
      </c>
      <c r="G66" s="165">
        <f t="shared" si="13"/>
        <v>0</v>
      </c>
      <c r="H66" s="147">
        <f t="shared" si="14"/>
        <v>0</v>
      </c>
      <c r="I66" s="160">
        <f t="shared" si="15"/>
        <v>0</v>
      </c>
      <c r="J66" s="160"/>
      <c r="K66" s="335"/>
      <c r="L66" s="162">
        <f t="shared" si="16"/>
        <v>0</v>
      </c>
      <c r="M66" s="335"/>
      <c r="N66" s="162">
        <f t="shared" si="17"/>
        <v>0</v>
      </c>
      <c r="O66" s="162">
        <f t="shared" si="18"/>
        <v>0</v>
      </c>
      <c r="P66" s="4"/>
    </row>
    <row r="67" spans="2:16">
      <c r="B67" s="9" t="str">
        <f t="shared" si="19"/>
        <v/>
      </c>
      <c r="C67" s="157">
        <f>IF(D11="","-",+C66+1)</f>
        <v>2061</v>
      </c>
      <c r="D67" s="163">
        <f>IF(F66+SUM(E$17:E66)=D$10,F66,D$10-SUM(E$17:E66))</f>
        <v>0</v>
      </c>
      <c r="E67" s="164">
        <f>IF(+I14&lt;F66,I14,D67)</f>
        <v>0</v>
      </c>
      <c r="F67" s="163">
        <f t="shared" si="20"/>
        <v>0</v>
      </c>
      <c r="G67" s="165">
        <f t="shared" si="13"/>
        <v>0</v>
      </c>
      <c r="H67" s="147">
        <f t="shared" si="14"/>
        <v>0</v>
      </c>
      <c r="I67" s="160">
        <f t="shared" si="15"/>
        <v>0</v>
      </c>
      <c r="J67" s="160"/>
      <c r="K67" s="335"/>
      <c r="L67" s="162">
        <f t="shared" si="16"/>
        <v>0</v>
      </c>
      <c r="M67" s="335"/>
      <c r="N67" s="162">
        <f t="shared" si="17"/>
        <v>0</v>
      </c>
      <c r="O67" s="162">
        <f t="shared" si="18"/>
        <v>0</v>
      </c>
      <c r="P67" s="4"/>
    </row>
    <row r="68" spans="2:16">
      <c r="B68" s="9" t="str">
        <f t="shared" si="19"/>
        <v/>
      </c>
      <c r="C68" s="157">
        <f>IF(D11="","-",+C67+1)</f>
        <v>2062</v>
      </c>
      <c r="D68" s="163">
        <f>IF(F67+SUM(E$17:E67)=D$10,F67,D$10-SUM(E$17:E67))</f>
        <v>0</v>
      </c>
      <c r="E68" s="164">
        <f>IF(+I14&lt;F67,I14,D68)</f>
        <v>0</v>
      </c>
      <c r="F68" s="163">
        <f t="shared" si="20"/>
        <v>0</v>
      </c>
      <c r="G68" s="165">
        <f t="shared" si="13"/>
        <v>0</v>
      </c>
      <c r="H68" s="147">
        <f t="shared" si="14"/>
        <v>0</v>
      </c>
      <c r="I68" s="160">
        <f t="shared" si="15"/>
        <v>0</v>
      </c>
      <c r="J68" s="160"/>
      <c r="K68" s="335"/>
      <c r="L68" s="162">
        <f t="shared" si="16"/>
        <v>0</v>
      </c>
      <c r="M68" s="335"/>
      <c r="N68" s="162">
        <f t="shared" si="17"/>
        <v>0</v>
      </c>
      <c r="O68" s="162">
        <f t="shared" si="18"/>
        <v>0</v>
      </c>
      <c r="P68" s="4"/>
    </row>
    <row r="69" spans="2:16">
      <c r="B69" s="9" t="str">
        <f t="shared" si="19"/>
        <v/>
      </c>
      <c r="C69" s="157">
        <f>IF(D11="","-",+C68+1)</f>
        <v>2063</v>
      </c>
      <c r="D69" s="163">
        <f>IF(F68+SUM(E$17:E68)=D$10,F68,D$10-SUM(E$17:E68))</f>
        <v>0</v>
      </c>
      <c r="E69" s="164">
        <f>IF(+I14&lt;F68,I14,D69)</f>
        <v>0</v>
      </c>
      <c r="F69" s="163">
        <f t="shared" si="20"/>
        <v>0</v>
      </c>
      <c r="G69" s="165">
        <f t="shared" si="13"/>
        <v>0</v>
      </c>
      <c r="H69" s="147">
        <f t="shared" si="14"/>
        <v>0</v>
      </c>
      <c r="I69" s="160">
        <f t="shared" si="15"/>
        <v>0</v>
      </c>
      <c r="J69" s="160"/>
      <c r="K69" s="335"/>
      <c r="L69" s="162">
        <f t="shared" si="16"/>
        <v>0</v>
      </c>
      <c r="M69" s="335"/>
      <c r="N69" s="162">
        <f t="shared" si="17"/>
        <v>0</v>
      </c>
      <c r="O69" s="162">
        <f t="shared" si="18"/>
        <v>0</v>
      </c>
      <c r="P69" s="4"/>
    </row>
    <row r="70" spans="2:16">
      <c r="B70" s="9" t="str">
        <f t="shared" si="19"/>
        <v/>
      </c>
      <c r="C70" s="157">
        <f>IF(D11="","-",+C69+1)</f>
        <v>2064</v>
      </c>
      <c r="D70" s="163">
        <f>IF(F69+SUM(E$17:E69)=D$10,F69,D$10-SUM(E$17:E69))</f>
        <v>0</v>
      </c>
      <c r="E70" s="164">
        <f>IF(+I14&lt;F69,I14,D70)</f>
        <v>0</v>
      </c>
      <c r="F70" s="163">
        <f t="shared" si="20"/>
        <v>0</v>
      </c>
      <c r="G70" s="165">
        <f t="shared" si="13"/>
        <v>0</v>
      </c>
      <c r="H70" s="147">
        <f t="shared" si="14"/>
        <v>0</v>
      </c>
      <c r="I70" s="160">
        <f t="shared" si="15"/>
        <v>0</v>
      </c>
      <c r="J70" s="160"/>
      <c r="K70" s="335"/>
      <c r="L70" s="162">
        <f t="shared" si="16"/>
        <v>0</v>
      </c>
      <c r="M70" s="335"/>
      <c r="N70" s="162">
        <f t="shared" si="17"/>
        <v>0</v>
      </c>
      <c r="O70" s="162">
        <f t="shared" si="18"/>
        <v>0</v>
      </c>
      <c r="P70" s="4"/>
    </row>
    <row r="71" spans="2:16">
      <c r="B71" s="9" t="str">
        <f t="shared" si="19"/>
        <v/>
      </c>
      <c r="C71" s="157">
        <f>IF(D11="","-",+C70+1)</f>
        <v>2065</v>
      </c>
      <c r="D71" s="163">
        <f>IF(F70+SUM(E$17:E70)=D$10,F70,D$10-SUM(E$17:E70))</f>
        <v>0</v>
      </c>
      <c r="E71" s="164">
        <f>IF(+I14&lt;F70,I14,D71)</f>
        <v>0</v>
      </c>
      <c r="F71" s="163">
        <f t="shared" si="20"/>
        <v>0</v>
      </c>
      <c r="G71" s="165">
        <f t="shared" si="13"/>
        <v>0</v>
      </c>
      <c r="H71" s="147">
        <f t="shared" si="14"/>
        <v>0</v>
      </c>
      <c r="I71" s="160">
        <f t="shared" si="15"/>
        <v>0</v>
      </c>
      <c r="J71" s="160"/>
      <c r="K71" s="335"/>
      <c r="L71" s="162">
        <f t="shared" si="16"/>
        <v>0</v>
      </c>
      <c r="M71" s="335"/>
      <c r="N71" s="162">
        <f t="shared" si="17"/>
        <v>0</v>
      </c>
      <c r="O71" s="162">
        <f t="shared" si="18"/>
        <v>0</v>
      </c>
      <c r="P71" s="4"/>
    </row>
    <row r="72" spans="2:16" ht="13.5" thickBot="1">
      <c r="B72" s="9" t="str">
        <f t="shared" si="19"/>
        <v/>
      </c>
      <c r="C72" s="168">
        <f>IF(D11="","-",+C71+1)</f>
        <v>2066</v>
      </c>
      <c r="D72" s="169">
        <f>IF(F71+SUM(E$17:E71)=D$10,F71,D$10-SUM(E$17:E71))</f>
        <v>0</v>
      </c>
      <c r="E72" s="170">
        <f>IF(+I14&lt;F71,I14,D72)</f>
        <v>0</v>
      </c>
      <c r="F72" s="169">
        <f t="shared" si="20"/>
        <v>0</v>
      </c>
      <c r="G72" s="169">
        <f t="shared" si="13"/>
        <v>0</v>
      </c>
      <c r="H72" s="169">
        <f t="shared" si="14"/>
        <v>0</v>
      </c>
      <c r="I72" s="172">
        <f t="shared" si="15"/>
        <v>0</v>
      </c>
      <c r="J72" s="160"/>
      <c r="K72" s="336"/>
      <c r="L72" s="173">
        <f t="shared" si="16"/>
        <v>0</v>
      </c>
      <c r="M72" s="336"/>
      <c r="N72" s="173">
        <f t="shared" si="17"/>
        <v>0</v>
      </c>
      <c r="O72" s="173">
        <f t="shared" si="18"/>
        <v>0</v>
      </c>
      <c r="P72" s="4"/>
    </row>
    <row r="73" spans="2:16">
      <c r="C73" s="158" t="s">
        <v>72</v>
      </c>
      <c r="D73" s="115"/>
      <c r="E73" s="115">
        <f>SUM(E17:E72)</f>
        <v>1404099.6199999999</v>
      </c>
      <c r="F73" s="115"/>
      <c r="G73" s="115">
        <f>SUM(G17:G72)</f>
        <v>5211660.2863958664</v>
      </c>
      <c r="H73" s="115">
        <f>SUM(H17:H72)</f>
        <v>5211660.2863958664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11 of 28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2018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192128.21377777777</v>
      </c>
      <c r="N87" s="202">
        <f>IF(J92&lt;D11,0,VLOOKUP(J92,C17:O72,11))</f>
        <v>192128.21377777777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156085.27550586959</v>
      </c>
      <c r="N88" s="204">
        <f>IF(J92&lt;D11,0,VLOOKUP(J92,C99:P154,7))</f>
        <v>156085.27550586959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Bartlesville SE to Coffeyville T Rebuild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-36042.938271908177</v>
      </c>
      <c r="N89" s="207">
        <f>+N88-N87</f>
        <v>-36042.938271908177</v>
      </c>
      <c r="O89" s="208">
        <f>+O88-O87</f>
        <v>0</v>
      </c>
      <c r="P89" s="1"/>
    </row>
    <row r="90" spans="1:16" ht="13.5" thickBot="1">
      <c r="C90" s="174"/>
      <c r="D90" s="177" t="str">
        <f>D8</f>
        <v/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 t="str">
        <f>+D9</f>
        <v>TP2008079-PSO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138">
        <f>D10</f>
        <v>1404099.6199999999</v>
      </c>
      <c r="E92" s="22" t="s">
        <v>89</v>
      </c>
      <c r="H92" s="139"/>
      <c r="I92" s="139"/>
      <c r="J92" s="140">
        <f>+'PSO.WS.G.BPU.ATRR.True-up'!M16</f>
        <v>2018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2011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6</v>
      </c>
      <c r="E94" s="141" t="s">
        <v>51</v>
      </c>
      <c r="F94" s="139"/>
      <c r="G94" s="139"/>
      <c r="J94" s="145">
        <f>'PSO.WS.G.BPU.ATRR.True-up'!$F$81</f>
        <v>0.10273556682691798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43</v>
      </c>
      <c r="E95" s="141" t="s">
        <v>54</v>
      </c>
      <c r="F95" s="139"/>
      <c r="G95" s="139"/>
      <c r="J95" s="145">
        <f>IF(H87="",J94,'PSO.WS.G.BPU.ATRR.True-up'!$F$80)</f>
        <v>0.10273556682691798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32653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277</v>
      </c>
      <c r="I97" s="339" t="s">
        <v>278</v>
      </c>
      <c r="J97" s="214" t="s">
        <v>93</v>
      </c>
      <c r="K97" s="216"/>
      <c r="L97" s="151" t="s">
        <v>97</v>
      </c>
      <c r="M97" s="151" t="s">
        <v>94</v>
      </c>
      <c r="N97" s="151" t="s">
        <v>97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2011</v>
      </c>
      <c r="D99" s="366">
        <v>0</v>
      </c>
      <c r="E99" s="368">
        <v>13815</v>
      </c>
      <c r="F99" s="431">
        <v>1422922</v>
      </c>
      <c r="G99" s="373">
        <v>711461</v>
      </c>
      <c r="H99" s="375">
        <v>113286.80836539247</v>
      </c>
      <c r="I99" s="375">
        <v>113286.80836539247</v>
      </c>
      <c r="J99" s="162">
        <f t="shared" ref="J99:J130" si="21">+I99-H99</f>
        <v>0</v>
      </c>
      <c r="K99" s="433"/>
      <c r="L99" s="384">
        <f t="shared" ref="L99:L104" si="22">H99</f>
        <v>113286.80836539247</v>
      </c>
      <c r="M99" s="434">
        <f t="shared" ref="M99:M130" si="23">IF(L99&lt;&gt;0,+H99-L99,0)</f>
        <v>0</v>
      </c>
      <c r="N99" s="384">
        <f t="shared" ref="N99:N104" si="24">I99</f>
        <v>113286.80836539247</v>
      </c>
      <c r="O99" s="161">
        <f t="shared" ref="O99:O130" si="25">IF(N99&lt;&gt;0,+I99-N99,0)</f>
        <v>0</v>
      </c>
      <c r="P99" s="175">
        <f t="shared" ref="P99:P130" si="26">+O99-M99</f>
        <v>0</v>
      </c>
    </row>
    <row r="100" spans="1:16">
      <c r="B100" s="9" t="str">
        <f t="shared" ref="B100:B131" si="27">IF(D100=F99,"","IU")</f>
        <v>IU</v>
      </c>
      <c r="C100" s="157">
        <f>IF(D93="","-",+C99+1)</f>
        <v>2012</v>
      </c>
      <c r="D100" s="366">
        <v>1479908</v>
      </c>
      <c r="E100" s="368">
        <v>28725</v>
      </c>
      <c r="F100" s="431">
        <v>1451183</v>
      </c>
      <c r="G100" s="371">
        <v>1465545.5</v>
      </c>
      <c r="H100" s="375">
        <v>239551.75399863988</v>
      </c>
      <c r="I100" s="375">
        <v>239551.75399863988</v>
      </c>
      <c r="J100" s="162">
        <v>0</v>
      </c>
      <c r="K100" s="433"/>
      <c r="L100" s="380">
        <f t="shared" si="22"/>
        <v>239551.75399863988</v>
      </c>
      <c r="M100" s="434">
        <f t="shared" ref="M100:M105" si="28">IF(L100&lt;&gt;0,+H100-L100,0)</f>
        <v>0</v>
      </c>
      <c r="N100" s="380">
        <f t="shared" si="24"/>
        <v>239551.75399863988</v>
      </c>
      <c r="O100" s="162">
        <f t="shared" ref="O100:O105" si="29">IF(N100&lt;&gt;0,+I100-N100,0)</f>
        <v>0</v>
      </c>
      <c r="P100" s="175">
        <f t="shared" ref="P100:P105" si="30">+O100-M100</f>
        <v>0</v>
      </c>
    </row>
    <row r="101" spans="1:16">
      <c r="B101" s="9" t="str">
        <f t="shared" si="27"/>
        <v/>
      </c>
      <c r="C101" s="157">
        <f>IF(D93="","-",+C100+1)</f>
        <v>2013</v>
      </c>
      <c r="D101" s="366">
        <v>1451183</v>
      </c>
      <c r="E101" s="368">
        <v>28725</v>
      </c>
      <c r="F101" s="431">
        <v>1422458</v>
      </c>
      <c r="G101" s="371">
        <v>1436820.5</v>
      </c>
      <c r="H101" s="375">
        <v>235540.35933406017</v>
      </c>
      <c r="I101" s="375">
        <v>235540.35933406017</v>
      </c>
      <c r="J101" s="162">
        <v>0</v>
      </c>
      <c r="K101" s="433"/>
      <c r="L101" s="380">
        <f t="shared" si="22"/>
        <v>235540.35933406017</v>
      </c>
      <c r="M101" s="434">
        <f t="shared" si="28"/>
        <v>0</v>
      </c>
      <c r="N101" s="380">
        <f t="shared" si="24"/>
        <v>235540.35933406017</v>
      </c>
      <c r="O101" s="162">
        <f t="shared" si="29"/>
        <v>0</v>
      </c>
      <c r="P101" s="175">
        <f t="shared" si="30"/>
        <v>0</v>
      </c>
    </row>
    <row r="102" spans="1:16">
      <c r="B102" s="9" t="str">
        <f t="shared" si="27"/>
        <v>IU</v>
      </c>
      <c r="C102" s="157">
        <f>IF(D93="","-",+C101+1)</f>
        <v>2014</v>
      </c>
      <c r="D102" s="366">
        <v>1332834.6199999999</v>
      </c>
      <c r="E102" s="368">
        <v>27002</v>
      </c>
      <c r="F102" s="431">
        <v>1305832.6199999999</v>
      </c>
      <c r="G102" s="371">
        <v>1319333.6199999999</v>
      </c>
      <c r="H102" s="375">
        <v>212494.91385632072</v>
      </c>
      <c r="I102" s="375">
        <v>212494.91385632072</v>
      </c>
      <c r="J102" s="162">
        <v>0</v>
      </c>
      <c r="K102" s="433"/>
      <c r="L102" s="380">
        <f t="shared" si="22"/>
        <v>212494.91385632072</v>
      </c>
      <c r="M102" s="434">
        <f t="shared" si="28"/>
        <v>0</v>
      </c>
      <c r="N102" s="380">
        <f t="shared" si="24"/>
        <v>212494.91385632072</v>
      </c>
      <c r="O102" s="162">
        <f t="shared" si="29"/>
        <v>0</v>
      </c>
      <c r="P102" s="175">
        <f t="shared" si="30"/>
        <v>0</v>
      </c>
    </row>
    <row r="103" spans="1:16">
      <c r="B103" s="9" t="str">
        <f t="shared" si="27"/>
        <v/>
      </c>
      <c r="C103" s="157">
        <f>IF(D93="","-",+C102+1)</f>
        <v>2015</v>
      </c>
      <c r="D103" s="366">
        <v>1305832.6199999999</v>
      </c>
      <c r="E103" s="368">
        <v>27002</v>
      </c>
      <c r="F103" s="431">
        <v>1278830.6199999999</v>
      </c>
      <c r="G103" s="371">
        <v>1292331.6199999999</v>
      </c>
      <c r="H103" s="375">
        <v>203330.25869072074</v>
      </c>
      <c r="I103" s="375">
        <v>203330.25869072074</v>
      </c>
      <c r="J103" s="162">
        <f t="shared" si="21"/>
        <v>0</v>
      </c>
      <c r="K103" s="433"/>
      <c r="L103" s="380">
        <f t="shared" si="22"/>
        <v>203330.25869072074</v>
      </c>
      <c r="M103" s="434">
        <f t="shared" si="28"/>
        <v>0</v>
      </c>
      <c r="N103" s="380">
        <f t="shared" si="24"/>
        <v>203330.25869072074</v>
      </c>
      <c r="O103" s="162">
        <f t="shared" si="29"/>
        <v>0</v>
      </c>
      <c r="P103" s="175">
        <f t="shared" si="30"/>
        <v>0</v>
      </c>
    </row>
    <row r="104" spans="1:16">
      <c r="B104" s="9" t="str">
        <f t="shared" si="27"/>
        <v/>
      </c>
      <c r="C104" s="157">
        <f>IF(D93="","-",+C103+1)</f>
        <v>2016</v>
      </c>
      <c r="D104" s="366">
        <v>1278830.6199999999</v>
      </c>
      <c r="E104" s="368">
        <v>30524</v>
      </c>
      <c r="F104" s="431">
        <v>1248306.6199999999</v>
      </c>
      <c r="G104" s="371">
        <v>1263568.6199999999</v>
      </c>
      <c r="H104" s="375">
        <v>193417.89490142919</v>
      </c>
      <c r="I104" s="375">
        <v>193417.89490142919</v>
      </c>
      <c r="J104" s="162">
        <v>0</v>
      </c>
      <c r="K104" s="162"/>
      <c r="L104" s="380">
        <f t="shared" si="22"/>
        <v>193417.89490142919</v>
      </c>
      <c r="M104" s="434">
        <f t="shared" si="28"/>
        <v>0</v>
      </c>
      <c r="N104" s="380">
        <f t="shared" si="24"/>
        <v>193417.89490142919</v>
      </c>
      <c r="O104" s="162">
        <f t="shared" si="29"/>
        <v>0</v>
      </c>
      <c r="P104" s="175">
        <f t="shared" si="30"/>
        <v>0</v>
      </c>
    </row>
    <row r="105" spans="1:16">
      <c r="B105" s="9" t="str">
        <f t="shared" si="27"/>
        <v/>
      </c>
      <c r="C105" s="157">
        <f>IF(D93="","-",+C104+1)</f>
        <v>2017</v>
      </c>
      <c r="D105" s="366">
        <v>1248306.6199999999</v>
      </c>
      <c r="E105" s="368">
        <v>30524</v>
      </c>
      <c r="F105" s="431">
        <v>1217782.6199999999</v>
      </c>
      <c r="G105" s="371">
        <v>1233044.6199999999</v>
      </c>
      <c r="H105" s="375">
        <v>186938.81917011391</v>
      </c>
      <c r="I105" s="375">
        <v>186938.81917011391</v>
      </c>
      <c r="J105" s="162">
        <f t="shared" si="21"/>
        <v>0</v>
      </c>
      <c r="K105" s="162"/>
      <c r="L105" s="380">
        <f t="shared" ref="L105" si="31">H105</f>
        <v>186938.81917011391</v>
      </c>
      <c r="M105" s="434">
        <f t="shared" si="28"/>
        <v>0</v>
      </c>
      <c r="N105" s="380">
        <f t="shared" ref="N105" si="32">I105</f>
        <v>186938.81917011391</v>
      </c>
      <c r="O105" s="162">
        <f t="shared" si="29"/>
        <v>0</v>
      </c>
      <c r="P105" s="175">
        <f t="shared" si="30"/>
        <v>0</v>
      </c>
    </row>
    <row r="106" spans="1:16">
      <c r="B106" s="9" t="str">
        <f t="shared" si="27"/>
        <v/>
      </c>
      <c r="C106" s="157">
        <f>IF(D93="","-",+C105+1)</f>
        <v>2018</v>
      </c>
      <c r="D106" s="158">
        <f>IF(F105+SUM(E$99:E105)=D$92,F105,D$92-SUM(E$99:E105))</f>
        <v>1217782.6199999999</v>
      </c>
      <c r="E106" s="164">
        <f>IF(+J96&lt;F105,J96,D106)</f>
        <v>32653</v>
      </c>
      <c r="F106" s="163">
        <f t="shared" ref="F106:F130" si="33">+D106-E106</f>
        <v>1185129.6199999999</v>
      </c>
      <c r="G106" s="163">
        <f t="shared" ref="G106:G130" si="34">+(F106+D106)/2</f>
        <v>1201456.1199999999</v>
      </c>
      <c r="H106" s="167">
        <f t="shared" ref="H106:H130" si="35">+J$94*G106+E106</f>
        <v>156085.27550586959</v>
      </c>
      <c r="I106" s="317">
        <f t="shared" ref="I106:I130" si="36">+J$95*G106+E106</f>
        <v>156085.27550586959</v>
      </c>
      <c r="J106" s="162">
        <f t="shared" si="21"/>
        <v>0</v>
      </c>
      <c r="K106" s="162"/>
      <c r="L106" s="335"/>
      <c r="M106" s="433">
        <f t="shared" si="23"/>
        <v>0</v>
      </c>
      <c r="N106" s="335"/>
      <c r="O106" s="162">
        <f t="shared" si="25"/>
        <v>0</v>
      </c>
      <c r="P106" s="160">
        <f t="shared" si="26"/>
        <v>0</v>
      </c>
    </row>
    <row r="107" spans="1:16">
      <c r="B107" s="9" t="str">
        <f t="shared" si="27"/>
        <v/>
      </c>
      <c r="C107" s="157">
        <f>IF(D93="","-",+C106+1)</f>
        <v>2019</v>
      </c>
      <c r="D107" s="158">
        <f>IF(F106+SUM(E$99:E106)=D$92,F106,D$92-SUM(E$99:E106))</f>
        <v>1185129.6199999999</v>
      </c>
      <c r="E107" s="165">
        <f>IF(+J96&lt;F106,J96,D107)</f>
        <v>32653</v>
      </c>
      <c r="F107" s="163">
        <f t="shared" si="33"/>
        <v>1152476.6199999999</v>
      </c>
      <c r="G107" s="163">
        <f t="shared" si="34"/>
        <v>1168803.1199999999</v>
      </c>
      <c r="H107" s="167">
        <f t="shared" si="35"/>
        <v>152730.65104227024</v>
      </c>
      <c r="I107" s="317">
        <f t="shared" si="36"/>
        <v>152730.65104227024</v>
      </c>
      <c r="J107" s="162">
        <f t="shared" si="21"/>
        <v>0</v>
      </c>
      <c r="K107" s="162"/>
      <c r="L107" s="335"/>
      <c r="M107" s="162">
        <f t="shared" si="23"/>
        <v>0</v>
      </c>
      <c r="N107" s="335"/>
      <c r="O107" s="162">
        <f t="shared" si="25"/>
        <v>0</v>
      </c>
      <c r="P107" s="160">
        <f t="shared" si="26"/>
        <v>0</v>
      </c>
    </row>
    <row r="108" spans="1:16">
      <c r="B108" s="9" t="str">
        <f t="shared" si="27"/>
        <v/>
      </c>
      <c r="C108" s="157">
        <f>IF(D93="","-",+C107+1)</f>
        <v>2020</v>
      </c>
      <c r="D108" s="158">
        <f>IF(F107+SUM(E$99:E107)=D$92,F107,D$92-SUM(E$99:E107))</f>
        <v>1152476.6199999999</v>
      </c>
      <c r="E108" s="165">
        <f>IF(+J96&lt;F107,J96,D108)</f>
        <v>32653</v>
      </c>
      <c r="F108" s="163">
        <f t="shared" si="33"/>
        <v>1119823.6199999999</v>
      </c>
      <c r="G108" s="163">
        <f t="shared" si="34"/>
        <v>1136150.1199999999</v>
      </c>
      <c r="H108" s="167">
        <f t="shared" si="35"/>
        <v>149376.02657867086</v>
      </c>
      <c r="I108" s="317">
        <f t="shared" si="36"/>
        <v>149376.02657867086</v>
      </c>
      <c r="J108" s="162">
        <f t="shared" si="21"/>
        <v>0</v>
      </c>
      <c r="K108" s="162"/>
      <c r="L108" s="335"/>
      <c r="M108" s="162">
        <f t="shared" si="23"/>
        <v>0</v>
      </c>
      <c r="N108" s="335"/>
      <c r="O108" s="162">
        <f t="shared" si="25"/>
        <v>0</v>
      </c>
      <c r="P108" s="160">
        <f t="shared" si="26"/>
        <v>0</v>
      </c>
    </row>
    <row r="109" spans="1:16">
      <c r="B109" s="9" t="str">
        <f t="shared" si="27"/>
        <v/>
      </c>
      <c r="C109" s="157">
        <f>IF(D93="","-",+C108+1)</f>
        <v>2021</v>
      </c>
      <c r="D109" s="158">
        <f>IF(F108+SUM(E$99:E108)=D$92,F108,D$92-SUM(E$99:E108))</f>
        <v>1119823.6199999999</v>
      </c>
      <c r="E109" s="165">
        <f>IF(+J96&lt;F108,J96,D109)</f>
        <v>32653</v>
      </c>
      <c r="F109" s="163">
        <f t="shared" si="33"/>
        <v>1087170.6199999999</v>
      </c>
      <c r="G109" s="163">
        <f t="shared" si="34"/>
        <v>1103497.1199999999</v>
      </c>
      <c r="H109" s="167">
        <f t="shared" si="35"/>
        <v>146021.40211507151</v>
      </c>
      <c r="I109" s="317">
        <f t="shared" si="36"/>
        <v>146021.40211507151</v>
      </c>
      <c r="J109" s="162">
        <f t="shared" si="21"/>
        <v>0</v>
      </c>
      <c r="K109" s="162"/>
      <c r="L109" s="335"/>
      <c r="M109" s="162">
        <f t="shared" si="23"/>
        <v>0</v>
      </c>
      <c r="N109" s="335"/>
      <c r="O109" s="162">
        <f t="shared" si="25"/>
        <v>0</v>
      </c>
      <c r="P109" s="162">
        <f t="shared" si="26"/>
        <v>0</v>
      </c>
    </row>
    <row r="110" spans="1:16">
      <c r="B110" s="9" t="str">
        <f t="shared" si="27"/>
        <v/>
      </c>
      <c r="C110" s="157">
        <f>IF(D93="","-",+C109+1)</f>
        <v>2022</v>
      </c>
      <c r="D110" s="158">
        <f>IF(F109+SUM(E$99:E109)=D$92,F109,D$92-SUM(E$99:E109))</f>
        <v>1087170.6199999999</v>
      </c>
      <c r="E110" s="165">
        <f>IF(+J96&lt;F109,J96,D110)</f>
        <v>32653</v>
      </c>
      <c r="F110" s="163">
        <f t="shared" si="33"/>
        <v>1054517.6199999999</v>
      </c>
      <c r="G110" s="163">
        <f t="shared" si="34"/>
        <v>1070844.1199999999</v>
      </c>
      <c r="H110" s="167">
        <f t="shared" si="35"/>
        <v>142666.77765147216</v>
      </c>
      <c r="I110" s="317">
        <f t="shared" si="36"/>
        <v>142666.77765147216</v>
      </c>
      <c r="J110" s="162">
        <f t="shared" si="21"/>
        <v>0</v>
      </c>
      <c r="K110" s="162"/>
      <c r="L110" s="335"/>
      <c r="M110" s="162">
        <f t="shared" si="23"/>
        <v>0</v>
      </c>
      <c r="N110" s="335"/>
      <c r="O110" s="162">
        <f t="shared" si="25"/>
        <v>0</v>
      </c>
      <c r="P110" s="162">
        <f t="shared" si="26"/>
        <v>0</v>
      </c>
    </row>
    <row r="111" spans="1:16">
      <c r="B111" s="9" t="str">
        <f t="shared" si="27"/>
        <v/>
      </c>
      <c r="C111" s="157">
        <f>IF(D93="","-",+C110+1)</f>
        <v>2023</v>
      </c>
      <c r="D111" s="158">
        <f>IF(F110+SUM(E$99:E110)=D$92,F110,D$92-SUM(E$99:E110))</f>
        <v>1054517.6199999999</v>
      </c>
      <c r="E111" s="165">
        <f>IF(+J96&lt;F110,J96,D111)</f>
        <v>32653</v>
      </c>
      <c r="F111" s="163">
        <f t="shared" si="33"/>
        <v>1021864.6199999999</v>
      </c>
      <c r="G111" s="163">
        <f t="shared" si="34"/>
        <v>1038191.1199999999</v>
      </c>
      <c r="H111" s="167">
        <f t="shared" si="35"/>
        <v>139312.15318787281</v>
      </c>
      <c r="I111" s="317">
        <f t="shared" si="36"/>
        <v>139312.15318787281</v>
      </c>
      <c r="J111" s="162">
        <f t="shared" si="21"/>
        <v>0</v>
      </c>
      <c r="K111" s="162"/>
      <c r="L111" s="335"/>
      <c r="M111" s="162">
        <f t="shared" si="23"/>
        <v>0</v>
      </c>
      <c r="N111" s="335"/>
      <c r="O111" s="162">
        <f t="shared" si="25"/>
        <v>0</v>
      </c>
      <c r="P111" s="162">
        <f t="shared" si="26"/>
        <v>0</v>
      </c>
    </row>
    <row r="112" spans="1:16">
      <c r="B112" s="9" t="str">
        <f t="shared" si="27"/>
        <v/>
      </c>
      <c r="C112" s="157">
        <f>IF(D93="","-",+C111+1)</f>
        <v>2024</v>
      </c>
      <c r="D112" s="158">
        <f>IF(F111+SUM(E$99:E111)=D$92,F111,D$92-SUM(E$99:E111))</f>
        <v>1021864.6199999999</v>
      </c>
      <c r="E112" s="165">
        <f>IF(+J96&lt;F111,J96,D112)</f>
        <v>32653</v>
      </c>
      <c r="F112" s="163">
        <f t="shared" si="33"/>
        <v>989211.61999999988</v>
      </c>
      <c r="G112" s="163">
        <f t="shared" si="34"/>
        <v>1005538.1199999999</v>
      </c>
      <c r="H112" s="167">
        <f t="shared" si="35"/>
        <v>135957.52872427346</v>
      </c>
      <c r="I112" s="317">
        <f t="shared" si="36"/>
        <v>135957.52872427346</v>
      </c>
      <c r="J112" s="162">
        <f t="shared" si="21"/>
        <v>0</v>
      </c>
      <c r="K112" s="162"/>
      <c r="L112" s="335"/>
      <c r="M112" s="162">
        <f t="shared" si="23"/>
        <v>0</v>
      </c>
      <c r="N112" s="335"/>
      <c r="O112" s="162">
        <f t="shared" si="25"/>
        <v>0</v>
      </c>
      <c r="P112" s="162">
        <f t="shared" si="26"/>
        <v>0</v>
      </c>
    </row>
    <row r="113" spans="2:16">
      <c r="B113" s="9" t="str">
        <f t="shared" si="27"/>
        <v/>
      </c>
      <c r="C113" s="157">
        <f>IF(D93="","-",+C112+1)</f>
        <v>2025</v>
      </c>
      <c r="D113" s="158">
        <f>IF(F112+SUM(E$99:E112)=D$92,F112,D$92-SUM(E$99:E112))</f>
        <v>989211.61999999988</v>
      </c>
      <c r="E113" s="165">
        <f>IF(+J96&lt;F112,J96,D113)</f>
        <v>32653</v>
      </c>
      <c r="F113" s="163">
        <f t="shared" si="33"/>
        <v>956558.61999999988</v>
      </c>
      <c r="G113" s="163">
        <f t="shared" si="34"/>
        <v>972885.11999999988</v>
      </c>
      <c r="H113" s="167">
        <f t="shared" si="35"/>
        <v>132602.90426067408</v>
      </c>
      <c r="I113" s="317">
        <f t="shared" si="36"/>
        <v>132602.90426067408</v>
      </c>
      <c r="J113" s="162">
        <f t="shared" si="21"/>
        <v>0</v>
      </c>
      <c r="K113" s="162"/>
      <c r="L113" s="335"/>
      <c r="M113" s="162">
        <f t="shared" si="23"/>
        <v>0</v>
      </c>
      <c r="N113" s="335"/>
      <c r="O113" s="162">
        <f t="shared" si="25"/>
        <v>0</v>
      </c>
      <c r="P113" s="162">
        <f t="shared" si="26"/>
        <v>0</v>
      </c>
    </row>
    <row r="114" spans="2:16">
      <c r="B114" s="9" t="str">
        <f t="shared" si="27"/>
        <v/>
      </c>
      <c r="C114" s="157">
        <f>IF(D93="","-",+C113+1)</f>
        <v>2026</v>
      </c>
      <c r="D114" s="158">
        <f>IF(F113+SUM(E$99:E113)=D$92,F113,D$92-SUM(E$99:E113))</f>
        <v>956558.61999999988</v>
      </c>
      <c r="E114" s="165">
        <f>IF(+J96&lt;F113,J96,D114)</f>
        <v>32653</v>
      </c>
      <c r="F114" s="163">
        <f t="shared" si="33"/>
        <v>923905.61999999988</v>
      </c>
      <c r="G114" s="163">
        <f t="shared" si="34"/>
        <v>940232.11999999988</v>
      </c>
      <c r="H114" s="167">
        <f t="shared" si="35"/>
        <v>129248.27979707475</v>
      </c>
      <c r="I114" s="317">
        <f t="shared" si="36"/>
        <v>129248.27979707475</v>
      </c>
      <c r="J114" s="162">
        <f t="shared" si="21"/>
        <v>0</v>
      </c>
      <c r="K114" s="162"/>
      <c r="L114" s="335"/>
      <c r="M114" s="162">
        <f t="shared" si="23"/>
        <v>0</v>
      </c>
      <c r="N114" s="335"/>
      <c r="O114" s="162">
        <f t="shared" si="25"/>
        <v>0</v>
      </c>
      <c r="P114" s="162">
        <f t="shared" si="26"/>
        <v>0</v>
      </c>
    </row>
    <row r="115" spans="2:16">
      <c r="B115" s="9" t="str">
        <f t="shared" si="27"/>
        <v/>
      </c>
      <c r="C115" s="157">
        <f>IF(D93="","-",+C114+1)</f>
        <v>2027</v>
      </c>
      <c r="D115" s="158">
        <f>IF(F114+SUM(E$99:E114)=D$92,F114,D$92-SUM(E$99:E114))</f>
        <v>923905.61999999988</v>
      </c>
      <c r="E115" s="165">
        <f>IF(+J96&lt;F114,J96,D115)</f>
        <v>32653</v>
      </c>
      <c r="F115" s="163">
        <f t="shared" si="33"/>
        <v>891252.61999999988</v>
      </c>
      <c r="G115" s="163">
        <f t="shared" si="34"/>
        <v>907579.11999999988</v>
      </c>
      <c r="H115" s="167">
        <f t="shared" si="35"/>
        <v>125893.6553334754</v>
      </c>
      <c r="I115" s="317">
        <f t="shared" si="36"/>
        <v>125893.6553334754</v>
      </c>
      <c r="J115" s="162">
        <f t="shared" si="21"/>
        <v>0</v>
      </c>
      <c r="K115" s="162"/>
      <c r="L115" s="335"/>
      <c r="M115" s="162">
        <f t="shared" si="23"/>
        <v>0</v>
      </c>
      <c r="N115" s="335"/>
      <c r="O115" s="162">
        <f t="shared" si="25"/>
        <v>0</v>
      </c>
      <c r="P115" s="162">
        <f t="shared" si="26"/>
        <v>0</v>
      </c>
    </row>
    <row r="116" spans="2:16">
      <c r="B116" s="9" t="str">
        <f t="shared" si="27"/>
        <v/>
      </c>
      <c r="C116" s="157">
        <f>IF(D93="","-",+C115+1)</f>
        <v>2028</v>
      </c>
      <c r="D116" s="158">
        <f>IF(F115+SUM(E$99:E115)=D$92,F115,D$92-SUM(E$99:E115))</f>
        <v>891252.61999999988</v>
      </c>
      <c r="E116" s="165">
        <f>IF(+J96&lt;F115,J96,D116)</f>
        <v>32653</v>
      </c>
      <c r="F116" s="163">
        <f t="shared" si="33"/>
        <v>858599.61999999988</v>
      </c>
      <c r="G116" s="163">
        <f t="shared" si="34"/>
        <v>874926.11999999988</v>
      </c>
      <c r="H116" s="167">
        <f t="shared" si="35"/>
        <v>122539.03086987605</v>
      </c>
      <c r="I116" s="317">
        <f t="shared" si="36"/>
        <v>122539.03086987605</v>
      </c>
      <c r="J116" s="162">
        <f t="shared" si="21"/>
        <v>0</v>
      </c>
      <c r="K116" s="162"/>
      <c r="L116" s="335"/>
      <c r="M116" s="162">
        <f t="shared" si="23"/>
        <v>0</v>
      </c>
      <c r="N116" s="335"/>
      <c r="O116" s="162">
        <f t="shared" si="25"/>
        <v>0</v>
      </c>
      <c r="P116" s="162">
        <f t="shared" si="26"/>
        <v>0</v>
      </c>
    </row>
    <row r="117" spans="2:16">
      <c r="B117" s="9" t="str">
        <f t="shared" si="27"/>
        <v/>
      </c>
      <c r="C117" s="157">
        <f>IF(D93="","-",+C116+1)</f>
        <v>2029</v>
      </c>
      <c r="D117" s="158">
        <f>IF(F116+SUM(E$99:E116)=D$92,F116,D$92-SUM(E$99:E116))</f>
        <v>858599.61999999988</v>
      </c>
      <c r="E117" s="165">
        <f>IF(+J96&lt;F116,J96,D117)</f>
        <v>32653</v>
      </c>
      <c r="F117" s="163">
        <f t="shared" si="33"/>
        <v>825946.61999999988</v>
      </c>
      <c r="G117" s="163">
        <f t="shared" si="34"/>
        <v>842273.11999999988</v>
      </c>
      <c r="H117" s="167">
        <f t="shared" si="35"/>
        <v>119184.4064062767</v>
      </c>
      <c r="I117" s="317">
        <f t="shared" si="36"/>
        <v>119184.4064062767</v>
      </c>
      <c r="J117" s="162">
        <f t="shared" si="21"/>
        <v>0</v>
      </c>
      <c r="K117" s="162"/>
      <c r="L117" s="335"/>
      <c r="M117" s="162">
        <f t="shared" si="23"/>
        <v>0</v>
      </c>
      <c r="N117" s="335"/>
      <c r="O117" s="162">
        <f t="shared" si="25"/>
        <v>0</v>
      </c>
      <c r="P117" s="162">
        <f t="shared" si="26"/>
        <v>0</v>
      </c>
    </row>
    <row r="118" spans="2:16">
      <c r="B118" s="9" t="str">
        <f t="shared" si="27"/>
        <v/>
      </c>
      <c r="C118" s="157">
        <f>IF(D93="","-",+C117+1)</f>
        <v>2030</v>
      </c>
      <c r="D118" s="158">
        <f>IF(F117+SUM(E$99:E117)=D$92,F117,D$92-SUM(E$99:E117))</f>
        <v>825946.61999999988</v>
      </c>
      <c r="E118" s="165">
        <f>IF(+J96&lt;F117,J96,D118)</f>
        <v>32653</v>
      </c>
      <c r="F118" s="163">
        <f t="shared" si="33"/>
        <v>793293.61999999988</v>
      </c>
      <c r="G118" s="163">
        <f t="shared" si="34"/>
        <v>809620.11999999988</v>
      </c>
      <c r="H118" s="167">
        <f t="shared" si="35"/>
        <v>115829.78194267733</v>
      </c>
      <c r="I118" s="317">
        <f t="shared" si="36"/>
        <v>115829.78194267733</v>
      </c>
      <c r="J118" s="162">
        <f t="shared" si="21"/>
        <v>0</v>
      </c>
      <c r="K118" s="162"/>
      <c r="L118" s="335"/>
      <c r="M118" s="162">
        <f t="shared" si="23"/>
        <v>0</v>
      </c>
      <c r="N118" s="335"/>
      <c r="O118" s="162">
        <f t="shared" si="25"/>
        <v>0</v>
      </c>
      <c r="P118" s="162">
        <f t="shared" si="26"/>
        <v>0</v>
      </c>
    </row>
    <row r="119" spans="2:16">
      <c r="B119" s="9" t="str">
        <f t="shared" si="27"/>
        <v/>
      </c>
      <c r="C119" s="157">
        <f>IF(D93="","-",+C118+1)</f>
        <v>2031</v>
      </c>
      <c r="D119" s="158">
        <f>IF(F118+SUM(E$99:E118)=D$92,F118,D$92-SUM(E$99:E118))</f>
        <v>793293.61999999988</v>
      </c>
      <c r="E119" s="165">
        <f>IF(+J96&lt;F118,J96,D119)</f>
        <v>32653</v>
      </c>
      <c r="F119" s="163">
        <f t="shared" si="33"/>
        <v>760640.61999999988</v>
      </c>
      <c r="G119" s="163">
        <f t="shared" si="34"/>
        <v>776967.11999999988</v>
      </c>
      <c r="H119" s="167">
        <f t="shared" si="35"/>
        <v>112475.15747907799</v>
      </c>
      <c r="I119" s="317">
        <f t="shared" si="36"/>
        <v>112475.15747907799</v>
      </c>
      <c r="J119" s="162">
        <f t="shared" si="21"/>
        <v>0</v>
      </c>
      <c r="K119" s="162"/>
      <c r="L119" s="335"/>
      <c r="M119" s="162">
        <f t="shared" si="23"/>
        <v>0</v>
      </c>
      <c r="N119" s="335"/>
      <c r="O119" s="162">
        <f t="shared" si="25"/>
        <v>0</v>
      </c>
      <c r="P119" s="162">
        <f t="shared" si="26"/>
        <v>0</v>
      </c>
    </row>
    <row r="120" spans="2:16">
      <c r="B120" s="9" t="str">
        <f t="shared" si="27"/>
        <v/>
      </c>
      <c r="C120" s="157">
        <f>IF(D93="","-",+C119+1)</f>
        <v>2032</v>
      </c>
      <c r="D120" s="158">
        <f>IF(F119+SUM(E$99:E119)=D$92,F119,D$92-SUM(E$99:E119))</f>
        <v>760640.61999999988</v>
      </c>
      <c r="E120" s="165">
        <f>IF(+J96&lt;F119,J96,D120)</f>
        <v>32653</v>
      </c>
      <c r="F120" s="163">
        <f t="shared" si="33"/>
        <v>727987.61999999988</v>
      </c>
      <c r="G120" s="163">
        <f t="shared" si="34"/>
        <v>744314.11999999988</v>
      </c>
      <c r="H120" s="167">
        <f t="shared" si="35"/>
        <v>109120.53301547864</v>
      </c>
      <c r="I120" s="317">
        <f t="shared" si="36"/>
        <v>109120.53301547864</v>
      </c>
      <c r="J120" s="162">
        <f t="shared" si="21"/>
        <v>0</v>
      </c>
      <c r="K120" s="162"/>
      <c r="L120" s="335"/>
      <c r="M120" s="162">
        <f t="shared" si="23"/>
        <v>0</v>
      </c>
      <c r="N120" s="335"/>
      <c r="O120" s="162">
        <f t="shared" si="25"/>
        <v>0</v>
      </c>
      <c r="P120" s="162">
        <f t="shared" si="26"/>
        <v>0</v>
      </c>
    </row>
    <row r="121" spans="2:16">
      <c r="B121" s="9" t="str">
        <f t="shared" si="27"/>
        <v/>
      </c>
      <c r="C121" s="157">
        <f>IF(D93="","-",+C120+1)</f>
        <v>2033</v>
      </c>
      <c r="D121" s="158">
        <f>IF(F120+SUM(E$99:E120)=D$92,F120,D$92-SUM(E$99:E120))</f>
        <v>727987.61999999988</v>
      </c>
      <c r="E121" s="165">
        <f>IF(+J96&lt;F120,J96,D121)</f>
        <v>32653</v>
      </c>
      <c r="F121" s="163">
        <f t="shared" si="33"/>
        <v>695334.61999999988</v>
      </c>
      <c r="G121" s="163">
        <f t="shared" si="34"/>
        <v>711661.11999999988</v>
      </c>
      <c r="H121" s="167">
        <f t="shared" si="35"/>
        <v>105765.90855187929</v>
      </c>
      <c r="I121" s="317">
        <f t="shared" si="36"/>
        <v>105765.90855187929</v>
      </c>
      <c r="J121" s="162">
        <f t="shared" si="21"/>
        <v>0</v>
      </c>
      <c r="K121" s="162"/>
      <c r="L121" s="335"/>
      <c r="M121" s="162">
        <f t="shared" si="23"/>
        <v>0</v>
      </c>
      <c r="N121" s="335"/>
      <c r="O121" s="162">
        <f t="shared" si="25"/>
        <v>0</v>
      </c>
      <c r="P121" s="162">
        <f t="shared" si="26"/>
        <v>0</v>
      </c>
    </row>
    <row r="122" spans="2:16">
      <c r="B122" s="9" t="str">
        <f t="shared" si="27"/>
        <v/>
      </c>
      <c r="C122" s="157">
        <f>IF(D93="","-",+C121+1)</f>
        <v>2034</v>
      </c>
      <c r="D122" s="158">
        <f>IF(F121+SUM(E$99:E121)=D$92,F121,D$92-SUM(E$99:E121))</f>
        <v>695334.61999999988</v>
      </c>
      <c r="E122" s="165">
        <f>IF(+J96&lt;F121,J96,D122)</f>
        <v>32653</v>
      </c>
      <c r="F122" s="163">
        <f t="shared" si="33"/>
        <v>662681.61999999988</v>
      </c>
      <c r="G122" s="163">
        <f t="shared" si="34"/>
        <v>679008.11999999988</v>
      </c>
      <c r="H122" s="167">
        <f t="shared" si="35"/>
        <v>102411.28408827994</v>
      </c>
      <c r="I122" s="317">
        <f t="shared" si="36"/>
        <v>102411.28408827994</v>
      </c>
      <c r="J122" s="162">
        <f t="shared" si="21"/>
        <v>0</v>
      </c>
      <c r="K122" s="162"/>
      <c r="L122" s="335"/>
      <c r="M122" s="162">
        <f t="shared" si="23"/>
        <v>0</v>
      </c>
      <c r="N122" s="335"/>
      <c r="O122" s="162">
        <f t="shared" si="25"/>
        <v>0</v>
      </c>
      <c r="P122" s="162">
        <f t="shared" si="26"/>
        <v>0</v>
      </c>
    </row>
    <row r="123" spans="2:16">
      <c r="B123" s="9" t="str">
        <f t="shared" si="27"/>
        <v/>
      </c>
      <c r="C123" s="157">
        <f>IF(D93="","-",+C122+1)</f>
        <v>2035</v>
      </c>
      <c r="D123" s="158">
        <f>IF(F122+SUM(E$99:E122)=D$92,F122,D$92-SUM(E$99:E122))</f>
        <v>662681.61999999988</v>
      </c>
      <c r="E123" s="165">
        <f>IF(+J96&lt;F122,J96,D123)</f>
        <v>32653</v>
      </c>
      <c r="F123" s="163">
        <f t="shared" si="33"/>
        <v>630028.61999999988</v>
      </c>
      <c r="G123" s="163">
        <f t="shared" si="34"/>
        <v>646355.11999999988</v>
      </c>
      <c r="H123" s="167">
        <f t="shared" si="35"/>
        <v>99056.659624680571</v>
      </c>
      <c r="I123" s="317">
        <f t="shared" si="36"/>
        <v>99056.659624680571</v>
      </c>
      <c r="J123" s="162">
        <f t="shared" si="21"/>
        <v>0</v>
      </c>
      <c r="K123" s="162"/>
      <c r="L123" s="335"/>
      <c r="M123" s="162">
        <f t="shared" si="23"/>
        <v>0</v>
      </c>
      <c r="N123" s="335"/>
      <c r="O123" s="162">
        <f t="shared" si="25"/>
        <v>0</v>
      </c>
      <c r="P123" s="162">
        <f t="shared" si="26"/>
        <v>0</v>
      </c>
    </row>
    <row r="124" spans="2:16">
      <c r="B124" s="9" t="str">
        <f t="shared" si="27"/>
        <v/>
      </c>
      <c r="C124" s="157">
        <f>IF(D93="","-",+C123+1)</f>
        <v>2036</v>
      </c>
      <c r="D124" s="158">
        <f>IF(F123+SUM(E$99:E123)=D$92,F123,D$92-SUM(E$99:E123))</f>
        <v>630028.61999999988</v>
      </c>
      <c r="E124" s="165">
        <f>IF(+J96&lt;F123,J96,D124)</f>
        <v>32653</v>
      </c>
      <c r="F124" s="163">
        <f t="shared" si="33"/>
        <v>597375.61999999988</v>
      </c>
      <c r="G124" s="163">
        <f t="shared" si="34"/>
        <v>613702.11999999988</v>
      </c>
      <c r="H124" s="167">
        <f t="shared" si="35"/>
        <v>95702.035161081221</v>
      </c>
      <c r="I124" s="317">
        <f t="shared" si="36"/>
        <v>95702.035161081221</v>
      </c>
      <c r="J124" s="162">
        <f t="shared" si="21"/>
        <v>0</v>
      </c>
      <c r="K124" s="162"/>
      <c r="L124" s="335"/>
      <c r="M124" s="162">
        <f t="shared" si="23"/>
        <v>0</v>
      </c>
      <c r="N124" s="335"/>
      <c r="O124" s="162">
        <f t="shared" si="25"/>
        <v>0</v>
      </c>
      <c r="P124" s="162">
        <f t="shared" si="26"/>
        <v>0</v>
      </c>
    </row>
    <row r="125" spans="2:16">
      <c r="B125" s="9" t="str">
        <f t="shared" si="27"/>
        <v/>
      </c>
      <c r="C125" s="157">
        <f>IF(D93="","-",+C124+1)</f>
        <v>2037</v>
      </c>
      <c r="D125" s="158">
        <f>IF(F124+SUM(E$99:E124)=D$92,F124,D$92-SUM(E$99:E124))</f>
        <v>597375.61999999988</v>
      </c>
      <c r="E125" s="165">
        <f>IF(+J96&lt;F124,J96,D125)</f>
        <v>32653</v>
      </c>
      <c r="F125" s="163">
        <f t="shared" si="33"/>
        <v>564722.61999999988</v>
      </c>
      <c r="G125" s="163">
        <f t="shared" si="34"/>
        <v>581049.11999999988</v>
      </c>
      <c r="H125" s="167">
        <f t="shared" si="35"/>
        <v>92347.410697481871</v>
      </c>
      <c r="I125" s="317">
        <f t="shared" si="36"/>
        <v>92347.410697481871</v>
      </c>
      <c r="J125" s="162">
        <f t="shared" si="21"/>
        <v>0</v>
      </c>
      <c r="K125" s="162"/>
      <c r="L125" s="335"/>
      <c r="M125" s="162">
        <f t="shared" si="23"/>
        <v>0</v>
      </c>
      <c r="N125" s="335"/>
      <c r="O125" s="162">
        <f t="shared" si="25"/>
        <v>0</v>
      </c>
      <c r="P125" s="162">
        <f t="shared" si="26"/>
        <v>0</v>
      </c>
    </row>
    <row r="126" spans="2:16">
      <c r="B126" s="9" t="str">
        <f t="shared" si="27"/>
        <v/>
      </c>
      <c r="C126" s="157">
        <f>IF(D93="","-",+C125+1)</f>
        <v>2038</v>
      </c>
      <c r="D126" s="158">
        <f>IF(F125+SUM(E$99:E125)=D$92,F125,D$92-SUM(E$99:E125))</f>
        <v>564722.61999999988</v>
      </c>
      <c r="E126" s="165">
        <f>IF(+J96&lt;F125,J96,D126)</f>
        <v>32653</v>
      </c>
      <c r="F126" s="163">
        <f t="shared" si="33"/>
        <v>532069.61999999988</v>
      </c>
      <c r="G126" s="163">
        <f t="shared" si="34"/>
        <v>548396.11999999988</v>
      </c>
      <c r="H126" s="167">
        <f t="shared" si="35"/>
        <v>88992.786233882522</v>
      </c>
      <c r="I126" s="317">
        <f t="shared" si="36"/>
        <v>88992.786233882522</v>
      </c>
      <c r="J126" s="162">
        <f t="shared" si="21"/>
        <v>0</v>
      </c>
      <c r="K126" s="162"/>
      <c r="L126" s="335"/>
      <c r="M126" s="162">
        <f t="shared" si="23"/>
        <v>0</v>
      </c>
      <c r="N126" s="335"/>
      <c r="O126" s="162">
        <f t="shared" si="25"/>
        <v>0</v>
      </c>
      <c r="P126" s="162">
        <f t="shared" si="26"/>
        <v>0</v>
      </c>
    </row>
    <row r="127" spans="2:16">
      <c r="B127" s="9" t="str">
        <f t="shared" si="27"/>
        <v/>
      </c>
      <c r="C127" s="157">
        <f>IF(D93="","-",+C126+1)</f>
        <v>2039</v>
      </c>
      <c r="D127" s="158">
        <f>IF(F126+SUM(E$99:E126)=D$92,F126,D$92-SUM(E$99:E126))</f>
        <v>532069.61999999988</v>
      </c>
      <c r="E127" s="165">
        <f>IF(+J96&lt;F126,J96,D127)</f>
        <v>32653</v>
      </c>
      <c r="F127" s="163">
        <f t="shared" si="33"/>
        <v>499416.61999999988</v>
      </c>
      <c r="G127" s="163">
        <f t="shared" si="34"/>
        <v>515743.11999999988</v>
      </c>
      <c r="H127" s="167">
        <f t="shared" si="35"/>
        <v>85638.161770283157</v>
      </c>
      <c r="I127" s="317">
        <f t="shared" si="36"/>
        <v>85638.161770283157</v>
      </c>
      <c r="J127" s="162">
        <f t="shared" si="21"/>
        <v>0</v>
      </c>
      <c r="K127" s="162"/>
      <c r="L127" s="335"/>
      <c r="M127" s="162">
        <f t="shared" si="23"/>
        <v>0</v>
      </c>
      <c r="N127" s="335"/>
      <c r="O127" s="162">
        <f t="shared" si="25"/>
        <v>0</v>
      </c>
      <c r="P127" s="162">
        <f t="shared" si="26"/>
        <v>0</v>
      </c>
    </row>
    <row r="128" spans="2:16">
      <c r="B128" s="9" t="str">
        <f t="shared" si="27"/>
        <v/>
      </c>
      <c r="C128" s="157">
        <f>IF(D93="","-",+C127+1)</f>
        <v>2040</v>
      </c>
      <c r="D128" s="158">
        <f>IF(F127+SUM(E$99:E127)=D$92,F127,D$92-SUM(E$99:E127))</f>
        <v>499416.61999999988</v>
      </c>
      <c r="E128" s="165">
        <f>IF(+J96&lt;F127,J96,D128)</f>
        <v>32653</v>
      </c>
      <c r="F128" s="163">
        <f t="shared" si="33"/>
        <v>466763.61999999988</v>
      </c>
      <c r="G128" s="163">
        <f t="shared" si="34"/>
        <v>483090.11999999988</v>
      </c>
      <c r="H128" s="167">
        <f t="shared" si="35"/>
        <v>82283.537306683807</v>
      </c>
      <c r="I128" s="317">
        <f t="shared" si="36"/>
        <v>82283.537306683807</v>
      </c>
      <c r="J128" s="162">
        <f t="shared" si="21"/>
        <v>0</v>
      </c>
      <c r="K128" s="162"/>
      <c r="L128" s="335"/>
      <c r="M128" s="162">
        <f t="shared" si="23"/>
        <v>0</v>
      </c>
      <c r="N128" s="335"/>
      <c r="O128" s="162">
        <f t="shared" si="25"/>
        <v>0</v>
      </c>
      <c r="P128" s="162">
        <f t="shared" si="26"/>
        <v>0</v>
      </c>
    </row>
    <row r="129" spans="2:16">
      <c r="B129" s="9" t="str">
        <f t="shared" si="27"/>
        <v/>
      </c>
      <c r="C129" s="157">
        <f>IF(D93="","-",+C128+1)</f>
        <v>2041</v>
      </c>
      <c r="D129" s="158">
        <f>IF(F128+SUM(E$99:E128)=D$92,F128,D$92-SUM(E$99:E128))</f>
        <v>466763.61999999988</v>
      </c>
      <c r="E129" s="165">
        <f t="shared" ref="E129:E154" si="37">IF(+J$96&lt;F128,J$96,D129)</f>
        <v>32653</v>
      </c>
      <c r="F129" s="163">
        <f t="shared" si="33"/>
        <v>434110.61999999988</v>
      </c>
      <c r="G129" s="163">
        <f t="shared" si="34"/>
        <v>450437.11999999988</v>
      </c>
      <c r="H129" s="167">
        <f t="shared" si="35"/>
        <v>78928.912843084458</v>
      </c>
      <c r="I129" s="317">
        <f t="shared" si="36"/>
        <v>78928.912843084458</v>
      </c>
      <c r="J129" s="162">
        <f t="shared" si="21"/>
        <v>0</v>
      </c>
      <c r="K129" s="162"/>
      <c r="L129" s="335"/>
      <c r="M129" s="162">
        <f t="shared" si="23"/>
        <v>0</v>
      </c>
      <c r="N129" s="335"/>
      <c r="O129" s="162">
        <f t="shared" si="25"/>
        <v>0</v>
      </c>
      <c r="P129" s="162">
        <f t="shared" si="26"/>
        <v>0</v>
      </c>
    </row>
    <row r="130" spans="2:16">
      <c r="B130" s="9" t="str">
        <f t="shared" si="27"/>
        <v/>
      </c>
      <c r="C130" s="157">
        <f>IF(D93="","-",+C129+1)</f>
        <v>2042</v>
      </c>
      <c r="D130" s="158">
        <f>IF(F129+SUM(E$99:E129)=D$92,F129,D$92-SUM(E$99:E129))</f>
        <v>434110.61999999988</v>
      </c>
      <c r="E130" s="165">
        <f t="shared" si="37"/>
        <v>32653</v>
      </c>
      <c r="F130" s="163">
        <f t="shared" si="33"/>
        <v>401457.61999999988</v>
      </c>
      <c r="G130" s="163">
        <f t="shared" si="34"/>
        <v>417784.11999999988</v>
      </c>
      <c r="H130" s="167">
        <f t="shared" si="35"/>
        <v>75574.288379485108</v>
      </c>
      <c r="I130" s="317">
        <f t="shared" si="36"/>
        <v>75574.288379485108</v>
      </c>
      <c r="J130" s="162">
        <f t="shared" si="21"/>
        <v>0</v>
      </c>
      <c r="K130" s="162"/>
      <c r="L130" s="335"/>
      <c r="M130" s="162">
        <f t="shared" si="23"/>
        <v>0</v>
      </c>
      <c r="N130" s="335"/>
      <c r="O130" s="162">
        <f t="shared" si="25"/>
        <v>0</v>
      </c>
      <c r="P130" s="162">
        <f t="shared" si="26"/>
        <v>0</v>
      </c>
    </row>
    <row r="131" spans="2:16">
      <c r="B131" s="9" t="str">
        <f t="shared" si="27"/>
        <v/>
      </c>
      <c r="C131" s="157">
        <f>IF(D93="","-",+C130+1)</f>
        <v>2043</v>
      </c>
      <c r="D131" s="158">
        <f>IF(F130+SUM(E$99:E130)=D$92,F130,D$92-SUM(E$99:E130))</f>
        <v>401457.61999999988</v>
      </c>
      <c r="E131" s="165">
        <f t="shared" si="37"/>
        <v>32653</v>
      </c>
      <c r="F131" s="163">
        <f t="shared" ref="F131:F154" si="38">+D131-E131</f>
        <v>368804.61999999988</v>
      </c>
      <c r="G131" s="163">
        <f t="shared" ref="G131:G154" si="39">+(F131+D131)/2</f>
        <v>385131.11999999988</v>
      </c>
      <c r="H131" s="167">
        <f t="shared" ref="H131:H154" si="40">+J$94*G131+E131</f>
        <v>72219.663915885758</v>
      </c>
      <c r="I131" s="317">
        <f t="shared" ref="I131:I154" si="41">+J$95*G131+E131</f>
        <v>72219.663915885758</v>
      </c>
      <c r="J131" s="162">
        <f t="shared" ref="J131:J154" si="42">+I541-H541</f>
        <v>0</v>
      </c>
      <c r="K131" s="162"/>
      <c r="L131" s="335"/>
      <c r="M131" s="162">
        <f t="shared" ref="M131:M154" si="43">IF(L541&lt;&gt;0,+H541-L541,0)</f>
        <v>0</v>
      </c>
      <c r="N131" s="335"/>
      <c r="O131" s="162">
        <f t="shared" ref="O131:O154" si="44">IF(N541&lt;&gt;0,+I541-N541,0)</f>
        <v>0</v>
      </c>
      <c r="P131" s="162">
        <f t="shared" ref="P131:P154" si="45">+O541-M541</f>
        <v>0</v>
      </c>
    </row>
    <row r="132" spans="2:16">
      <c r="B132" s="9" t="str">
        <f t="shared" ref="B132:B154" si="46">IF(D132=F131,"","IU")</f>
        <v/>
      </c>
      <c r="C132" s="157">
        <f>IF(D93="","-",+C131+1)</f>
        <v>2044</v>
      </c>
      <c r="D132" s="158">
        <f>IF(F131+SUM(E$99:E131)=D$92,F131,D$92-SUM(E$99:E131))</f>
        <v>368804.61999999988</v>
      </c>
      <c r="E132" s="165">
        <f t="shared" si="37"/>
        <v>32653</v>
      </c>
      <c r="F132" s="163">
        <f t="shared" si="38"/>
        <v>336151.61999999988</v>
      </c>
      <c r="G132" s="163">
        <f t="shared" si="39"/>
        <v>352478.11999999988</v>
      </c>
      <c r="H132" s="167">
        <f t="shared" si="40"/>
        <v>68865.039452286408</v>
      </c>
      <c r="I132" s="317">
        <f t="shared" si="41"/>
        <v>68865.039452286408</v>
      </c>
      <c r="J132" s="162">
        <f t="shared" si="42"/>
        <v>0</v>
      </c>
      <c r="K132" s="162"/>
      <c r="L132" s="335"/>
      <c r="M132" s="162">
        <f t="shared" si="43"/>
        <v>0</v>
      </c>
      <c r="N132" s="335"/>
      <c r="O132" s="162">
        <f t="shared" si="44"/>
        <v>0</v>
      </c>
      <c r="P132" s="162">
        <f t="shared" si="45"/>
        <v>0</v>
      </c>
    </row>
    <row r="133" spans="2:16">
      <c r="B133" s="9" t="str">
        <f t="shared" si="46"/>
        <v/>
      </c>
      <c r="C133" s="157">
        <f>IF(D93="","-",+C132+1)</f>
        <v>2045</v>
      </c>
      <c r="D133" s="158">
        <f>IF(F132+SUM(E$99:E132)=D$92,F132,D$92-SUM(E$99:E132))</f>
        <v>336151.61999999988</v>
      </c>
      <c r="E133" s="165">
        <f t="shared" si="37"/>
        <v>32653</v>
      </c>
      <c r="F133" s="163">
        <f t="shared" si="38"/>
        <v>303498.61999999988</v>
      </c>
      <c r="G133" s="163">
        <f t="shared" si="39"/>
        <v>319825.11999999988</v>
      </c>
      <c r="H133" s="167">
        <f t="shared" si="40"/>
        <v>65510.414988687051</v>
      </c>
      <c r="I133" s="317">
        <f t="shared" si="41"/>
        <v>65510.414988687051</v>
      </c>
      <c r="J133" s="162">
        <f t="shared" si="42"/>
        <v>0</v>
      </c>
      <c r="K133" s="162"/>
      <c r="L133" s="335"/>
      <c r="M133" s="162">
        <f t="shared" si="43"/>
        <v>0</v>
      </c>
      <c r="N133" s="335"/>
      <c r="O133" s="162">
        <f t="shared" si="44"/>
        <v>0</v>
      </c>
      <c r="P133" s="162">
        <f t="shared" si="45"/>
        <v>0</v>
      </c>
    </row>
    <row r="134" spans="2:16">
      <c r="B134" s="9" t="str">
        <f t="shared" si="46"/>
        <v/>
      </c>
      <c r="C134" s="157">
        <f>IF(D93="","-",+C133+1)</f>
        <v>2046</v>
      </c>
      <c r="D134" s="158">
        <f>IF(F133+SUM(E$99:E133)=D$92,F133,D$92-SUM(E$99:E133))</f>
        <v>303498.61999999988</v>
      </c>
      <c r="E134" s="165">
        <f t="shared" si="37"/>
        <v>32653</v>
      </c>
      <c r="F134" s="163">
        <f t="shared" si="38"/>
        <v>270845.61999999988</v>
      </c>
      <c r="G134" s="163">
        <f t="shared" si="39"/>
        <v>287172.11999999988</v>
      </c>
      <c r="H134" s="167">
        <f t="shared" si="40"/>
        <v>62155.790525087694</v>
      </c>
      <c r="I134" s="317">
        <f t="shared" si="41"/>
        <v>62155.790525087694</v>
      </c>
      <c r="J134" s="162">
        <f t="shared" si="42"/>
        <v>0</v>
      </c>
      <c r="K134" s="162"/>
      <c r="L134" s="335"/>
      <c r="M134" s="162">
        <f t="shared" si="43"/>
        <v>0</v>
      </c>
      <c r="N134" s="335"/>
      <c r="O134" s="162">
        <f t="shared" si="44"/>
        <v>0</v>
      </c>
      <c r="P134" s="162">
        <f t="shared" si="45"/>
        <v>0</v>
      </c>
    </row>
    <row r="135" spans="2:16">
      <c r="B135" s="9" t="str">
        <f t="shared" si="46"/>
        <v/>
      </c>
      <c r="C135" s="157">
        <f>IF(D93="","-",+C134+1)</f>
        <v>2047</v>
      </c>
      <c r="D135" s="158">
        <f>IF(F134+SUM(E$99:E134)=D$92,F134,D$92-SUM(E$99:E134))</f>
        <v>270845.61999999988</v>
      </c>
      <c r="E135" s="165">
        <f t="shared" si="37"/>
        <v>32653</v>
      </c>
      <c r="F135" s="163">
        <f t="shared" si="38"/>
        <v>238192.61999999988</v>
      </c>
      <c r="G135" s="163">
        <f t="shared" si="39"/>
        <v>254519.11999999988</v>
      </c>
      <c r="H135" s="167">
        <f t="shared" si="40"/>
        <v>58801.166061488344</v>
      </c>
      <c r="I135" s="317">
        <f t="shared" si="41"/>
        <v>58801.166061488344</v>
      </c>
      <c r="J135" s="162">
        <f t="shared" si="42"/>
        <v>0</v>
      </c>
      <c r="K135" s="162"/>
      <c r="L135" s="335"/>
      <c r="M135" s="162">
        <f t="shared" si="43"/>
        <v>0</v>
      </c>
      <c r="N135" s="335"/>
      <c r="O135" s="162">
        <f t="shared" si="44"/>
        <v>0</v>
      </c>
      <c r="P135" s="162">
        <f t="shared" si="45"/>
        <v>0</v>
      </c>
    </row>
    <row r="136" spans="2:16">
      <c r="B136" s="9" t="str">
        <f t="shared" si="46"/>
        <v/>
      </c>
      <c r="C136" s="157">
        <f>IF(D93="","-",+C135+1)</f>
        <v>2048</v>
      </c>
      <c r="D136" s="158">
        <f>IF(F135+SUM(E$99:E135)=D$92,F135,D$92-SUM(E$99:E135))</f>
        <v>238192.61999999988</v>
      </c>
      <c r="E136" s="165">
        <f t="shared" si="37"/>
        <v>32653</v>
      </c>
      <c r="F136" s="163">
        <f t="shared" si="38"/>
        <v>205539.61999999988</v>
      </c>
      <c r="G136" s="163">
        <f t="shared" si="39"/>
        <v>221866.11999999988</v>
      </c>
      <c r="H136" s="167">
        <f t="shared" si="40"/>
        <v>55446.541597888994</v>
      </c>
      <c r="I136" s="317">
        <f t="shared" si="41"/>
        <v>55446.541597888994</v>
      </c>
      <c r="J136" s="162">
        <f t="shared" si="42"/>
        <v>0</v>
      </c>
      <c r="K136" s="162"/>
      <c r="L136" s="335"/>
      <c r="M136" s="162">
        <f t="shared" si="43"/>
        <v>0</v>
      </c>
      <c r="N136" s="335"/>
      <c r="O136" s="162">
        <f t="shared" si="44"/>
        <v>0</v>
      </c>
      <c r="P136" s="162">
        <f t="shared" si="45"/>
        <v>0</v>
      </c>
    </row>
    <row r="137" spans="2:16">
      <c r="B137" s="9" t="str">
        <f t="shared" si="46"/>
        <v/>
      </c>
      <c r="C137" s="157">
        <f>IF(D93="","-",+C136+1)</f>
        <v>2049</v>
      </c>
      <c r="D137" s="158">
        <f>IF(F136+SUM(E$99:E136)=D$92,F136,D$92-SUM(E$99:E136))</f>
        <v>205539.61999999988</v>
      </c>
      <c r="E137" s="165">
        <f t="shared" si="37"/>
        <v>32653</v>
      </c>
      <c r="F137" s="163">
        <f t="shared" si="38"/>
        <v>172886.61999999988</v>
      </c>
      <c r="G137" s="163">
        <f t="shared" si="39"/>
        <v>189213.11999999988</v>
      </c>
      <c r="H137" s="167">
        <f t="shared" si="40"/>
        <v>52091.917134289637</v>
      </c>
      <c r="I137" s="317">
        <f t="shared" si="41"/>
        <v>52091.917134289637</v>
      </c>
      <c r="J137" s="162">
        <f t="shared" si="42"/>
        <v>0</v>
      </c>
      <c r="K137" s="162"/>
      <c r="L137" s="335"/>
      <c r="M137" s="162">
        <f t="shared" si="43"/>
        <v>0</v>
      </c>
      <c r="N137" s="335"/>
      <c r="O137" s="162">
        <f t="shared" si="44"/>
        <v>0</v>
      </c>
      <c r="P137" s="162">
        <f t="shared" si="45"/>
        <v>0</v>
      </c>
    </row>
    <row r="138" spans="2:16">
      <c r="B138" s="9" t="str">
        <f t="shared" si="46"/>
        <v/>
      </c>
      <c r="C138" s="157">
        <f>IF(D93="","-",+C137+1)</f>
        <v>2050</v>
      </c>
      <c r="D138" s="158">
        <f>IF(F137+SUM(E$99:E137)=D$92,F137,D$92-SUM(E$99:E137))</f>
        <v>172886.61999999988</v>
      </c>
      <c r="E138" s="165">
        <f t="shared" si="37"/>
        <v>32653</v>
      </c>
      <c r="F138" s="163">
        <f t="shared" si="38"/>
        <v>140233.61999999988</v>
      </c>
      <c r="G138" s="163">
        <f t="shared" si="39"/>
        <v>156560.11999999988</v>
      </c>
      <c r="H138" s="167">
        <f t="shared" si="40"/>
        <v>48737.292670690287</v>
      </c>
      <c r="I138" s="317">
        <f t="shared" si="41"/>
        <v>48737.292670690287</v>
      </c>
      <c r="J138" s="162">
        <f t="shared" si="42"/>
        <v>0</v>
      </c>
      <c r="K138" s="162"/>
      <c r="L138" s="335"/>
      <c r="M138" s="162">
        <f t="shared" si="43"/>
        <v>0</v>
      </c>
      <c r="N138" s="335"/>
      <c r="O138" s="162">
        <f t="shared" si="44"/>
        <v>0</v>
      </c>
      <c r="P138" s="162">
        <f t="shared" si="45"/>
        <v>0</v>
      </c>
    </row>
    <row r="139" spans="2:16">
      <c r="B139" s="9" t="str">
        <f t="shared" si="46"/>
        <v/>
      </c>
      <c r="C139" s="157">
        <f>IF(D93="","-",+C138+1)</f>
        <v>2051</v>
      </c>
      <c r="D139" s="158">
        <f>IF(F138+SUM(E$99:E138)=D$92,F138,D$92-SUM(E$99:E138))</f>
        <v>140233.61999999988</v>
      </c>
      <c r="E139" s="165">
        <f t="shared" si="37"/>
        <v>32653</v>
      </c>
      <c r="F139" s="163">
        <f t="shared" si="38"/>
        <v>107580.61999999988</v>
      </c>
      <c r="G139" s="163">
        <f t="shared" si="39"/>
        <v>123907.11999999988</v>
      </c>
      <c r="H139" s="167">
        <f t="shared" si="40"/>
        <v>45382.66820709093</v>
      </c>
      <c r="I139" s="317">
        <f t="shared" si="41"/>
        <v>45382.66820709093</v>
      </c>
      <c r="J139" s="162">
        <f t="shared" si="42"/>
        <v>0</v>
      </c>
      <c r="K139" s="162"/>
      <c r="L139" s="335"/>
      <c r="M139" s="162">
        <f t="shared" si="43"/>
        <v>0</v>
      </c>
      <c r="N139" s="335"/>
      <c r="O139" s="162">
        <f t="shared" si="44"/>
        <v>0</v>
      </c>
      <c r="P139" s="162">
        <f t="shared" si="45"/>
        <v>0</v>
      </c>
    </row>
    <row r="140" spans="2:16">
      <c r="B140" s="9" t="str">
        <f t="shared" si="46"/>
        <v/>
      </c>
      <c r="C140" s="157">
        <f>IF(D93="","-",+C139+1)</f>
        <v>2052</v>
      </c>
      <c r="D140" s="158">
        <f>IF(F139+SUM(E$99:E139)=D$92,F139,D$92-SUM(E$99:E139))</f>
        <v>107580.61999999988</v>
      </c>
      <c r="E140" s="165">
        <f t="shared" si="37"/>
        <v>32653</v>
      </c>
      <c r="F140" s="163">
        <f t="shared" si="38"/>
        <v>74927.619999999879</v>
      </c>
      <c r="G140" s="163">
        <f t="shared" si="39"/>
        <v>91254.119999999879</v>
      </c>
      <c r="H140" s="167">
        <f t="shared" si="40"/>
        <v>42028.04374349158</v>
      </c>
      <c r="I140" s="317">
        <f t="shared" si="41"/>
        <v>42028.04374349158</v>
      </c>
      <c r="J140" s="162">
        <f t="shared" si="42"/>
        <v>0</v>
      </c>
      <c r="K140" s="162"/>
      <c r="L140" s="335"/>
      <c r="M140" s="162">
        <f t="shared" si="43"/>
        <v>0</v>
      </c>
      <c r="N140" s="335"/>
      <c r="O140" s="162">
        <f t="shared" si="44"/>
        <v>0</v>
      </c>
      <c r="P140" s="162">
        <f t="shared" si="45"/>
        <v>0</v>
      </c>
    </row>
    <row r="141" spans="2:16">
      <c r="B141" s="9" t="str">
        <f t="shared" si="46"/>
        <v/>
      </c>
      <c r="C141" s="157">
        <f>IF(D93="","-",+C140+1)</f>
        <v>2053</v>
      </c>
      <c r="D141" s="158">
        <f>IF(F140+SUM(E$99:E140)=D$92,F140,D$92-SUM(E$99:E140))</f>
        <v>74927.619999999879</v>
      </c>
      <c r="E141" s="165">
        <f t="shared" si="37"/>
        <v>32653</v>
      </c>
      <c r="F141" s="163">
        <f t="shared" si="38"/>
        <v>42274.619999999879</v>
      </c>
      <c r="G141" s="163">
        <f t="shared" si="39"/>
        <v>58601.119999999879</v>
      </c>
      <c r="H141" s="167">
        <f t="shared" si="40"/>
        <v>38673.41927989223</v>
      </c>
      <c r="I141" s="317">
        <f t="shared" si="41"/>
        <v>38673.41927989223</v>
      </c>
      <c r="J141" s="162">
        <f t="shared" si="42"/>
        <v>0</v>
      </c>
      <c r="K141" s="162"/>
      <c r="L141" s="335"/>
      <c r="M141" s="162">
        <f t="shared" si="43"/>
        <v>0</v>
      </c>
      <c r="N141" s="335"/>
      <c r="O141" s="162">
        <f t="shared" si="44"/>
        <v>0</v>
      </c>
      <c r="P141" s="162">
        <f t="shared" si="45"/>
        <v>0</v>
      </c>
    </row>
    <row r="142" spans="2:16">
      <c r="B142" s="9" t="str">
        <f t="shared" si="46"/>
        <v/>
      </c>
      <c r="C142" s="157">
        <f>IF(D93="","-",+C141+1)</f>
        <v>2054</v>
      </c>
      <c r="D142" s="158">
        <f>IF(F141+SUM(E$99:E141)=D$92,F141,D$92-SUM(E$99:E141))</f>
        <v>42274.619999999879</v>
      </c>
      <c r="E142" s="165">
        <f t="shared" si="37"/>
        <v>32653</v>
      </c>
      <c r="F142" s="163">
        <f t="shared" si="38"/>
        <v>9621.6199999998789</v>
      </c>
      <c r="G142" s="163">
        <f t="shared" si="39"/>
        <v>25948.119999999879</v>
      </c>
      <c r="H142" s="167">
        <f t="shared" si="40"/>
        <v>35318.794816292873</v>
      </c>
      <c r="I142" s="317">
        <f t="shared" si="41"/>
        <v>35318.794816292873</v>
      </c>
      <c r="J142" s="162">
        <f t="shared" si="42"/>
        <v>0</v>
      </c>
      <c r="K142" s="162"/>
      <c r="L142" s="335"/>
      <c r="M142" s="162">
        <f t="shared" si="43"/>
        <v>0</v>
      </c>
      <c r="N142" s="335"/>
      <c r="O142" s="162">
        <f t="shared" si="44"/>
        <v>0</v>
      </c>
      <c r="P142" s="162">
        <f t="shared" si="45"/>
        <v>0</v>
      </c>
    </row>
    <row r="143" spans="2:16">
      <c r="B143" s="9" t="str">
        <f t="shared" si="46"/>
        <v/>
      </c>
      <c r="C143" s="157">
        <f>IF(D93="","-",+C142+1)</f>
        <v>2055</v>
      </c>
      <c r="D143" s="158">
        <f>IF(F142+SUM(E$99:E142)=D$92,F142,D$92-SUM(E$99:E142))</f>
        <v>9621.6199999998789</v>
      </c>
      <c r="E143" s="165">
        <f t="shared" si="37"/>
        <v>9621.6199999998789</v>
      </c>
      <c r="F143" s="163">
        <f t="shared" si="38"/>
        <v>0</v>
      </c>
      <c r="G143" s="163">
        <f t="shared" si="39"/>
        <v>4810.8099999999395</v>
      </c>
      <c r="H143" s="167">
        <f t="shared" si="40"/>
        <v>10115.861292246478</v>
      </c>
      <c r="I143" s="317">
        <f t="shared" si="41"/>
        <v>10115.861292246478</v>
      </c>
      <c r="J143" s="162">
        <f t="shared" si="42"/>
        <v>0</v>
      </c>
      <c r="K143" s="162"/>
      <c r="L143" s="335"/>
      <c r="M143" s="162">
        <f t="shared" si="43"/>
        <v>0</v>
      </c>
      <c r="N143" s="335"/>
      <c r="O143" s="162">
        <f t="shared" si="44"/>
        <v>0</v>
      </c>
      <c r="P143" s="162">
        <f t="shared" si="45"/>
        <v>0</v>
      </c>
    </row>
    <row r="144" spans="2:16">
      <c r="B144" s="9" t="str">
        <f t="shared" si="46"/>
        <v/>
      </c>
      <c r="C144" s="157">
        <f>IF(D93="","-",+C143+1)</f>
        <v>2056</v>
      </c>
      <c r="D144" s="158">
        <f>IF(F143+SUM(E$99:E143)=D$92,F143,D$92-SUM(E$99:E143))</f>
        <v>0</v>
      </c>
      <c r="E144" s="165">
        <f t="shared" si="37"/>
        <v>0</v>
      </c>
      <c r="F144" s="163">
        <f t="shared" si="38"/>
        <v>0</v>
      </c>
      <c r="G144" s="163">
        <f t="shared" si="39"/>
        <v>0</v>
      </c>
      <c r="H144" s="167">
        <f t="shared" si="40"/>
        <v>0</v>
      </c>
      <c r="I144" s="317">
        <f t="shared" si="41"/>
        <v>0</v>
      </c>
      <c r="J144" s="162">
        <f t="shared" si="42"/>
        <v>0</v>
      </c>
      <c r="K144" s="162"/>
      <c r="L144" s="335"/>
      <c r="M144" s="162">
        <f t="shared" si="43"/>
        <v>0</v>
      </c>
      <c r="N144" s="335"/>
      <c r="O144" s="162">
        <f t="shared" si="44"/>
        <v>0</v>
      </c>
      <c r="P144" s="162">
        <f t="shared" si="45"/>
        <v>0</v>
      </c>
    </row>
    <row r="145" spans="2:16">
      <c r="B145" s="9" t="str">
        <f t="shared" si="46"/>
        <v/>
      </c>
      <c r="C145" s="157">
        <f>IF(D93="","-",+C144+1)</f>
        <v>2057</v>
      </c>
      <c r="D145" s="158">
        <f>IF(F144+SUM(E$99:E144)=D$92,F144,D$92-SUM(E$99:E144))</f>
        <v>0</v>
      </c>
      <c r="E145" s="165">
        <f t="shared" si="37"/>
        <v>0</v>
      </c>
      <c r="F145" s="163">
        <f t="shared" si="38"/>
        <v>0</v>
      </c>
      <c r="G145" s="163">
        <f t="shared" si="39"/>
        <v>0</v>
      </c>
      <c r="H145" s="167">
        <f t="shared" si="40"/>
        <v>0</v>
      </c>
      <c r="I145" s="317">
        <f t="shared" si="41"/>
        <v>0</v>
      </c>
      <c r="J145" s="162">
        <f t="shared" si="42"/>
        <v>0</v>
      </c>
      <c r="K145" s="162"/>
      <c r="L145" s="335"/>
      <c r="M145" s="162">
        <f t="shared" si="43"/>
        <v>0</v>
      </c>
      <c r="N145" s="335"/>
      <c r="O145" s="162">
        <f t="shared" si="44"/>
        <v>0</v>
      </c>
      <c r="P145" s="162">
        <f t="shared" si="45"/>
        <v>0</v>
      </c>
    </row>
    <row r="146" spans="2:16">
      <c r="B146" s="9" t="str">
        <f t="shared" si="46"/>
        <v/>
      </c>
      <c r="C146" s="157">
        <f>IF(D93="","-",+C145+1)</f>
        <v>2058</v>
      </c>
      <c r="D146" s="158">
        <f>IF(F145+SUM(E$99:E145)=D$92,F145,D$92-SUM(E$99:E145))</f>
        <v>0</v>
      </c>
      <c r="E146" s="165">
        <f t="shared" si="37"/>
        <v>0</v>
      </c>
      <c r="F146" s="163">
        <f t="shared" si="38"/>
        <v>0</v>
      </c>
      <c r="G146" s="163">
        <f t="shared" si="39"/>
        <v>0</v>
      </c>
      <c r="H146" s="167">
        <f t="shared" si="40"/>
        <v>0</v>
      </c>
      <c r="I146" s="317">
        <f t="shared" si="41"/>
        <v>0</v>
      </c>
      <c r="J146" s="162">
        <f t="shared" si="42"/>
        <v>0</v>
      </c>
      <c r="K146" s="162"/>
      <c r="L146" s="335"/>
      <c r="M146" s="162">
        <f t="shared" si="43"/>
        <v>0</v>
      </c>
      <c r="N146" s="335"/>
      <c r="O146" s="162">
        <f t="shared" si="44"/>
        <v>0</v>
      </c>
      <c r="P146" s="162">
        <f t="shared" si="45"/>
        <v>0</v>
      </c>
    </row>
    <row r="147" spans="2:16">
      <c r="B147" s="9" t="str">
        <f t="shared" si="46"/>
        <v/>
      </c>
      <c r="C147" s="157">
        <f>IF(D93="","-",+C146+1)</f>
        <v>2059</v>
      </c>
      <c r="D147" s="158">
        <f>IF(F146+SUM(E$99:E146)=D$92,F146,D$92-SUM(E$99:E146))</f>
        <v>0</v>
      </c>
      <c r="E147" s="165">
        <f t="shared" si="37"/>
        <v>0</v>
      </c>
      <c r="F147" s="163">
        <f t="shared" si="38"/>
        <v>0</v>
      </c>
      <c r="G147" s="163">
        <f t="shared" si="39"/>
        <v>0</v>
      </c>
      <c r="H147" s="167">
        <f t="shared" si="40"/>
        <v>0</v>
      </c>
      <c r="I147" s="317">
        <f t="shared" si="41"/>
        <v>0</v>
      </c>
      <c r="J147" s="162">
        <f t="shared" si="42"/>
        <v>0</v>
      </c>
      <c r="K147" s="162"/>
      <c r="L147" s="335"/>
      <c r="M147" s="162">
        <f t="shared" si="43"/>
        <v>0</v>
      </c>
      <c r="N147" s="335"/>
      <c r="O147" s="162">
        <f t="shared" si="44"/>
        <v>0</v>
      </c>
      <c r="P147" s="162">
        <f t="shared" si="45"/>
        <v>0</v>
      </c>
    </row>
    <row r="148" spans="2:16">
      <c r="B148" s="9" t="str">
        <f t="shared" si="46"/>
        <v/>
      </c>
      <c r="C148" s="157">
        <f>IF(D93="","-",+C147+1)</f>
        <v>2060</v>
      </c>
      <c r="D148" s="158">
        <f>IF(F147+SUM(E$99:E147)=D$92,F147,D$92-SUM(E$99:E147))</f>
        <v>0</v>
      </c>
      <c r="E148" s="165">
        <f t="shared" si="37"/>
        <v>0</v>
      </c>
      <c r="F148" s="163">
        <f t="shared" si="38"/>
        <v>0</v>
      </c>
      <c r="G148" s="163">
        <f t="shared" si="39"/>
        <v>0</v>
      </c>
      <c r="H148" s="167">
        <f t="shared" si="40"/>
        <v>0</v>
      </c>
      <c r="I148" s="317">
        <f t="shared" si="41"/>
        <v>0</v>
      </c>
      <c r="J148" s="162">
        <f t="shared" si="42"/>
        <v>0</v>
      </c>
      <c r="K148" s="162"/>
      <c r="L148" s="335"/>
      <c r="M148" s="162">
        <f t="shared" si="43"/>
        <v>0</v>
      </c>
      <c r="N148" s="335"/>
      <c r="O148" s="162">
        <f t="shared" si="44"/>
        <v>0</v>
      </c>
      <c r="P148" s="162">
        <f t="shared" si="45"/>
        <v>0</v>
      </c>
    </row>
    <row r="149" spans="2:16">
      <c r="B149" s="9" t="str">
        <f t="shared" si="46"/>
        <v/>
      </c>
      <c r="C149" s="157">
        <f>IF(D93="","-",+C148+1)</f>
        <v>2061</v>
      </c>
      <c r="D149" s="158">
        <f>IF(F148+SUM(E$99:E148)=D$92,F148,D$92-SUM(E$99:E148))</f>
        <v>0</v>
      </c>
      <c r="E149" s="165">
        <f t="shared" si="37"/>
        <v>0</v>
      </c>
      <c r="F149" s="163">
        <f t="shared" si="38"/>
        <v>0</v>
      </c>
      <c r="G149" s="163">
        <f t="shared" si="39"/>
        <v>0</v>
      </c>
      <c r="H149" s="167">
        <f t="shared" si="40"/>
        <v>0</v>
      </c>
      <c r="I149" s="317">
        <f t="shared" si="41"/>
        <v>0</v>
      </c>
      <c r="J149" s="162">
        <f t="shared" si="42"/>
        <v>0</v>
      </c>
      <c r="K149" s="162"/>
      <c r="L149" s="335"/>
      <c r="M149" s="162">
        <f t="shared" si="43"/>
        <v>0</v>
      </c>
      <c r="N149" s="335"/>
      <c r="O149" s="162">
        <f t="shared" si="44"/>
        <v>0</v>
      </c>
      <c r="P149" s="162">
        <f t="shared" si="45"/>
        <v>0</v>
      </c>
    </row>
    <row r="150" spans="2:16">
      <c r="B150" s="9" t="str">
        <f t="shared" si="46"/>
        <v/>
      </c>
      <c r="C150" s="157">
        <f>IF(D93="","-",+C149+1)</f>
        <v>2062</v>
      </c>
      <c r="D150" s="158">
        <f>IF(F149+SUM(E$99:E149)=D$92,F149,D$92-SUM(E$99:E149))</f>
        <v>0</v>
      </c>
      <c r="E150" s="165">
        <f t="shared" si="37"/>
        <v>0</v>
      </c>
      <c r="F150" s="163">
        <f t="shared" si="38"/>
        <v>0</v>
      </c>
      <c r="G150" s="163">
        <f t="shared" si="39"/>
        <v>0</v>
      </c>
      <c r="H150" s="167">
        <f t="shared" si="40"/>
        <v>0</v>
      </c>
      <c r="I150" s="317">
        <f t="shared" si="41"/>
        <v>0</v>
      </c>
      <c r="J150" s="162">
        <f t="shared" si="42"/>
        <v>0</v>
      </c>
      <c r="K150" s="162"/>
      <c r="L150" s="335"/>
      <c r="M150" s="162">
        <f t="shared" si="43"/>
        <v>0</v>
      </c>
      <c r="N150" s="335"/>
      <c r="O150" s="162">
        <f t="shared" si="44"/>
        <v>0</v>
      </c>
      <c r="P150" s="162">
        <f t="shared" si="45"/>
        <v>0</v>
      </c>
    </row>
    <row r="151" spans="2:16">
      <c r="B151" s="9" t="str">
        <f t="shared" si="46"/>
        <v/>
      </c>
      <c r="C151" s="157">
        <f>IF(D93="","-",+C150+1)</f>
        <v>2063</v>
      </c>
      <c r="D151" s="158">
        <f>IF(F150+SUM(E$99:E150)=D$92,F150,D$92-SUM(E$99:E150))</f>
        <v>0</v>
      </c>
      <c r="E151" s="165">
        <f t="shared" si="37"/>
        <v>0</v>
      </c>
      <c r="F151" s="163">
        <f t="shared" si="38"/>
        <v>0</v>
      </c>
      <c r="G151" s="163">
        <f t="shared" si="39"/>
        <v>0</v>
      </c>
      <c r="H151" s="167">
        <f t="shared" si="40"/>
        <v>0</v>
      </c>
      <c r="I151" s="317">
        <f t="shared" si="41"/>
        <v>0</v>
      </c>
      <c r="J151" s="162">
        <f t="shared" si="42"/>
        <v>0</v>
      </c>
      <c r="K151" s="162"/>
      <c r="L151" s="335"/>
      <c r="M151" s="162">
        <f t="shared" si="43"/>
        <v>0</v>
      </c>
      <c r="N151" s="335"/>
      <c r="O151" s="162">
        <f t="shared" si="44"/>
        <v>0</v>
      </c>
      <c r="P151" s="162">
        <f t="shared" si="45"/>
        <v>0</v>
      </c>
    </row>
    <row r="152" spans="2:16">
      <c r="B152" s="9" t="str">
        <f t="shared" si="46"/>
        <v/>
      </c>
      <c r="C152" s="157">
        <f>IF(D93="","-",+C151+1)</f>
        <v>2064</v>
      </c>
      <c r="D152" s="158">
        <f>IF(F151+SUM(E$99:E151)=D$92,F151,D$92-SUM(E$99:E151))</f>
        <v>0</v>
      </c>
      <c r="E152" s="165">
        <f t="shared" si="37"/>
        <v>0</v>
      </c>
      <c r="F152" s="163">
        <f t="shared" si="38"/>
        <v>0</v>
      </c>
      <c r="G152" s="163">
        <f t="shared" si="39"/>
        <v>0</v>
      </c>
      <c r="H152" s="167">
        <f t="shared" si="40"/>
        <v>0</v>
      </c>
      <c r="I152" s="317">
        <f t="shared" si="41"/>
        <v>0</v>
      </c>
      <c r="J152" s="162">
        <f t="shared" si="42"/>
        <v>0</v>
      </c>
      <c r="K152" s="162"/>
      <c r="L152" s="335"/>
      <c r="M152" s="162">
        <f t="shared" si="43"/>
        <v>0</v>
      </c>
      <c r="N152" s="335"/>
      <c r="O152" s="162">
        <f t="shared" si="44"/>
        <v>0</v>
      </c>
      <c r="P152" s="162">
        <f t="shared" si="45"/>
        <v>0</v>
      </c>
    </row>
    <row r="153" spans="2:16">
      <c r="B153" s="9" t="str">
        <f t="shared" si="46"/>
        <v/>
      </c>
      <c r="C153" s="157">
        <f>IF(D93="","-",+C152+1)</f>
        <v>2065</v>
      </c>
      <c r="D153" s="158">
        <f>IF(F152+SUM(E$99:E152)=D$92,F152,D$92-SUM(E$99:E152))</f>
        <v>0</v>
      </c>
      <c r="E153" s="165">
        <f t="shared" si="37"/>
        <v>0</v>
      </c>
      <c r="F153" s="163">
        <f t="shared" si="38"/>
        <v>0</v>
      </c>
      <c r="G153" s="163">
        <f t="shared" si="39"/>
        <v>0</v>
      </c>
      <c r="H153" s="167">
        <f t="shared" si="40"/>
        <v>0</v>
      </c>
      <c r="I153" s="317">
        <f t="shared" si="41"/>
        <v>0</v>
      </c>
      <c r="J153" s="162">
        <f t="shared" si="42"/>
        <v>0</v>
      </c>
      <c r="K153" s="162"/>
      <c r="L153" s="335"/>
      <c r="M153" s="162">
        <f t="shared" si="43"/>
        <v>0</v>
      </c>
      <c r="N153" s="335"/>
      <c r="O153" s="162">
        <f t="shared" si="44"/>
        <v>0</v>
      </c>
      <c r="P153" s="162">
        <f t="shared" si="45"/>
        <v>0</v>
      </c>
    </row>
    <row r="154" spans="2:16" ht="13.5" thickBot="1">
      <c r="B154" s="9" t="str">
        <f t="shared" si="46"/>
        <v/>
      </c>
      <c r="C154" s="168">
        <f>IF(D93="","-",+C153+1)</f>
        <v>2066</v>
      </c>
      <c r="D154" s="388">
        <f>IF(F153+SUM(E$99:E153)=D$92,F153,D$92-SUM(E$99:E153))</f>
        <v>0</v>
      </c>
      <c r="E154" s="377">
        <f t="shared" si="37"/>
        <v>0</v>
      </c>
      <c r="F154" s="169">
        <f t="shared" si="38"/>
        <v>0</v>
      </c>
      <c r="G154" s="169">
        <f t="shared" si="39"/>
        <v>0</v>
      </c>
      <c r="H154" s="171">
        <f t="shared" si="40"/>
        <v>0</v>
      </c>
      <c r="I154" s="318">
        <f t="shared" si="41"/>
        <v>0</v>
      </c>
      <c r="J154" s="173">
        <f t="shared" si="42"/>
        <v>0</v>
      </c>
      <c r="K154" s="162"/>
      <c r="L154" s="336"/>
      <c r="M154" s="173">
        <f t="shared" si="43"/>
        <v>0</v>
      </c>
      <c r="N154" s="336"/>
      <c r="O154" s="173">
        <f t="shared" si="44"/>
        <v>0</v>
      </c>
      <c r="P154" s="173">
        <f t="shared" si="45"/>
        <v>0</v>
      </c>
    </row>
    <row r="155" spans="2:16">
      <c r="C155" s="158" t="s">
        <v>72</v>
      </c>
      <c r="D155" s="115"/>
      <c r="E155" s="115">
        <f>SUM(E99:E154)</f>
        <v>1404099.6199999999</v>
      </c>
      <c r="F155" s="115"/>
      <c r="G155" s="115"/>
      <c r="H155" s="115">
        <f>SUM(H99:H154)</f>
        <v>4935651.9705689289</v>
      </c>
      <c r="I155" s="115">
        <f>SUM(I99:I154)</f>
        <v>4935651.9705689289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phoneticPr fontId="0" type="noConversion"/>
  <conditionalFormatting sqref="C17:C72">
    <cfRule type="cellIs" dxfId="40" priority="1" stopIfTrue="1" operator="equal">
      <formula>$I$10</formula>
    </cfRule>
  </conditionalFormatting>
  <conditionalFormatting sqref="C99:C154">
    <cfRule type="cellIs" dxfId="39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A1:P162"/>
  <sheetViews>
    <sheetView view="pageBreakPreview" zoomScale="75" zoomScaleNormal="100" workbookViewId="0">
      <selection activeCell="I18" sqref="I18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8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"&amp;RIGHT(MID(CELL("filename",$A$1),FIND("]",CELL("filename",$A$1))+1,256),2)&amp;" of "&amp;COUNT('P.001:P.xyz - blank'!$P$3)-1</f>
        <v>PSO Project 12 of 28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275</v>
      </c>
      <c r="L5" s="119"/>
      <c r="M5" s="120"/>
      <c r="N5" s="121">
        <f>VLOOKUP(I10,C17:I72,5)</f>
        <v>381296.77932523622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276</v>
      </c>
      <c r="L6" s="125"/>
      <c r="M6" s="4"/>
      <c r="N6" s="126">
        <f>VLOOKUP(I10,C17:I72,6)</f>
        <v>381296.77932523622</v>
      </c>
      <c r="O6" s="1"/>
      <c r="P6" s="1"/>
    </row>
    <row r="7" spans="1:16" ht="13.5" thickBot="1">
      <c r="C7" s="127" t="s">
        <v>41</v>
      </c>
      <c r="D7" s="343" t="s">
        <v>227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 t="str">
        <f>IF(D10&lt;100000,"DOES NOT MEET SPP $100,000 MINIMUM INVESTMENT FOR REGIONAL BPU SHARING.","")</f>
        <v/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43</v>
      </c>
      <c r="D9" s="382" t="s">
        <v>226</v>
      </c>
      <c r="E9" s="427" t="s">
        <v>310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3305767.14</v>
      </c>
      <c r="E10" s="64" t="s">
        <v>46</v>
      </c>
      <c r="F10" s="137"/>
      <c r="G10" s="139"/>
      <c r="H10" s="139"/>
      <c r="I10" s="140">
        <f>+PSO.WS.F.BPU.ATRR.Projected!L19</f>
        <v>2020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2012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10</v>
      </c>
      <c r="E12" s="141" t="s">
        <v>51</v>
      </c>
      <c r="F12" s="139"/>
      <c r="G12" s="7"/>
      <c r="H12" s="7"/>
      <c r="I12" s="145">
        <f>PSO.WS.F.BPU.ATRR.Projected!$F$81</f>
        <v>0.10800477690995318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42</v>
      </c>
      <c r="E13" s="141" t="s">
        <v>54</v>
      </c>
      <c r="F13" s="139"/>
      <c r="G13" s="7"/>
      <c r="H13" s="7"/>
      <c r="I13" s="145">
        <f>IF(G5="",I12,PSO.WS.F.BPU.ATRR.Projected!$F$80)</f>
        <v>0.10800477690995318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78708.741428571433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277</v>
      </c>
      <c r="H15" s="362" t="s">
        <v>278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2012</v>
      </c>
      <c r="D17" s="366">
        <v>1132400</v>
      </c>
      <c r="E17" s="367">
        <v>3629.4871794871797</v>
      </c>
      <c r="F17" s="366">
        <v>1128770.5128205128</v>
      </c>
      <c r="G17" s="367">
        <v>160761.94360740471</v>
      </c>
      <c r="H17" s="370">
        <v>160761.94360740471</v>
      </c>
      <c r="I17" s="160">
        <f t="shared" ref="I17:I48" si="0">H17-G17</f>
        <v>0</v>
      </c>
      <c r="J17" s="160"/>
      <c r="K17" s="337">
        <f t="shared" ref="K17:K22" si="1">G17</f>
        <v>160761.94360740471</v>
      </c>
      <c r="L17" s="176">
        <f t="shared" ref="L17:L48" si="2">IF(K17&lt;&gt;0,+G17-K17,0)</f>
        <v>0</v>
      </c>
      <c r="M17" s="337">
        <f t="shared" ref="M17:M22" si="3">H17</f>
        <v>160761.94360740471</v>
      </c>
      <c r="N17" s="358">
        <f t="shared" ref="N17:N48" si="4">IF(M17&lt;&gt;0,+H17-M17,0)</f>
        <v>0</v>
      </c>
      <c r="O17" s="162">
        <f t="shared" ref="O17:O48" si="5">+N17-L17</f>
        <v>0</v>
      </c>
      <c r="P17" s="4"/>
    </row>
    <row r="18" spans="2:16">
      <c r="B18" s="9" t="str">
        <f t="shared" ref="B18:B49" si="6">IF(D18=F17,"","IU")</f>
        <v>IU</v>
      </c>
      <c r="C18" s="157">
        <f>IF(D11="","-",+C17+1)</f>
        <v>2013</v>
      </c>
      <c r="D18" s="366">
        <v>2746405</v>
      </c>
      <c r="E18" s="368">
        <v>52885</v>
      </c>
      <c r="F18" s="366">
        <v>2693519</v>
      </c>
      <c r="G18" s="368">
        <v>437538</v>
      </c>
      <c r="H18" s="370">
        <v>437538</v>
      </c>
      <c r="I18" s="160">
        <f t="shared" si="0"/>
        <v>0</v>
      </c>
      <c r="J18" s="160"/>
      <c r="K18" s="338">
        <f t="shared" si="1"/>
        <v>437538</v>
      </c>
      <c r="L18" s="272">
        <f t="shared" ref="L18:L23" si="7">IF(K18&lt;&gt;0,+G18-K18,0)</f>
        <v>0</v>
      </c>
      <c r="M18" s="338">
        <f t="shared" si="3"/>
        <v>437538</v>
      </c>
      <c r="N18" s="162">
        <f t="shared" ref="N18:N23" si="8">IF(M18&lt;&gt;0,+H18-M18,0)</f>
        <v>0</v>
      </c>
      <c r="O18" s="162">
        <f t="shared" ref="O18:O23" si="9">+N18-L18</f>
        <v>0</v>
      </c>
      <c r="P18" s="4"/>
    </row>
    <row r="19" spans="2:16">
      <c r="B19" s="9" t="str">
        <f t="shared" si="6"/>
        <v>IU</v>
      </c>
      <c r="C19" s="157">
        <f>IF(D11="","-",+C18+1)</f>
        <v>2014</v>
      </c>
      <c r="D19" s="366">
        <v>3185619.512820513</v>
      </c>
      <c r="E19" s="368">
        <v>62348.730769230766</v>
      </c>
      <c r="F19" s="366">
        <v>3123270.782051282</v>
      </c>
      <c r="G19" s="368">
        <v>492294.73076923075</v>
      </c>
      <c r="H19" s="370">
        <v>492294.73076923075</v>
      </c>
      <c r="I19" s="160">
        <v>0</v>
      </c>
      <c r="J19" s="160"/>
      <c r="K19" s="338">
        <f t="shared" si="1"/>
        <v>492294.73076923075</v>
      </c>
      <c r="L19" s="272">
        <f t="shared" si="7"/>
        <v>0</v>
      </c>
      <c r="M19" s="338">
        <f t="shared" si="3"/>
        <v>492294.73076923075</v>
      </c>
      <c r="N19" s="162">
        <f t="shared" si="8"/>
        <v>0</v>
      </c>
      <c r="O19" s="162">
        <f t="shared" si="9"/>
        <v>0</v>
      </c>
      <c r="P19" s="4"/>
    </row>
    <row r="20" spans="2:16">
      <c r="B20" s="9" t="str">
        <f t="shared" si="6"/>
        <v>IU</v>
      </c>
      <c r="C20" s="157">
        <f>IF(D11="","-",+C19+1)</f>
        <v>2015</v>
      </c>
      <c r="D20" s="366">
        <v>3186903.9220512821</v>
      </c>
      <c r="E20" s="368">
        <v>63572.445</v>
      </c>
      <c r="F20" s="366">
        <v>3123331.4770512823</v>
      </c>
      <c r="G20" s="368">
        <v>494191.44500000001</v>
      </c>
      <c r="H20" s="370">
        <v>494191.44500000001</v>
      </c>
      <c r="I20" s="160">
        <v>0</v>
      </c>
      <c r="J20" s="160"/>
      <c r="K20" s="338">
        <f t="shared" si="1"/>
        <v>494191.44500000001</v>
      </c>
      <c r="L20" s="272">
        <f t="shared" si="7"/>
        <v>0</v>
      </c>
      <c r="M20" s="338">
        <f t="shared" si="3"/>
        <v>494191.44500000001</v>
      </c>
      <c r="N20" s="162">
        <f t="shared" si="8"/>
        <v>0</v>
      </c>
      <c r="O20" s="162">
        <f t="shared" si="9"/>
        <v>0</v>
      </c>
      <c r="P20" s="4"/>
    </row>
    <row r="21" spans="2:16">
      <c r="B21" s="9" t="str">
        <f t="shared" si="6"/>
        <v/>
      </c>
      <c r="C21" s="157">
        <f>IF(D11="","-",+C20+1)</f>
        <v>2016</v>
      </c>
      <c r="D21" s="366">
        <v>3123331.4770512823</v>
      </c>
      <c r="E21" s="368">
        <v>63572.445</v>
      </c>
      <c r="F21" s="366">
        <v>3059759.0320512825</v>
      </c>
      <c r="G21" s="368">
        <v>464889.44500000001</v>
      </c>
      <c r="H21" s="370">
        <v>464889.44500000001</v>
      </c>
      <c r="I21" s="160">
        <f t="shared" si="0"/>
        <v>0</v>
      </c>
      <c r="J21" s="160"/>
      <c r="K21" s="338">
        <f t="shared" si="1"/>
        <v>464889.44500000001</v>
      </c>
      <c r="L21" s="272">
        <f t="shared" si="7"/>
        <v>0</v>
      </c>
      <c r="M21" s="338">
        <f t="shared" si="3"/>
        <v>464889.44500000001</v>
      </c>
      <c r="N21" s="162">
        <f t="shared" si="8"/>
        <v>0</v>
      </c>
      <c r="O21" s="162">
        <f t="shared" si="9"/>
        <v>0</v>
      </c>
      <c r="P21" s="4"/>
    </row>
    <row r="22" spans="2:16">
      <c r="B22" s="9" t="str">
        <f t="shared" si="6"/>
        <v/>
      </c>
      <c r="C22" s="157">
        <f>IF(D11="","-",+C21+1)</f>
        <v>2017</v>
      </c>
      <c r="D22" s="366">
        <v>3059759.0320512825</v>
      </c>
      <c r="E22" s="368">
        <v>71864.503043478268</v>
      </c>
      <c r="F22" s="366">
        <v>2987894.5290078041</v>
      </c>
      <c r="G22" s="368">
        <v>452105.50304347824</v>
      </c>
      <c r="H22" s="370">
        <v>452105.50304347824</v>
      </c>
      <c r="I22" s="160">
        <v>0</v>
      </c>
      <c r="J22" s="160"/>
      <c r="K22" s="338">
        <f t="shared" si="1"/>
        <v>452105.50304347824</v>
      </c>
      <c r="L22" s="272">
        <f t="shared" si="7"/>
        <v>0</v>
      </c>
      <c r="M22" s="338">
        <f t="shared" si="3"/>
        <v>452105.50304347824</v>
      </c>
      <c r="N22" s="162">
        <f t="shared" si="8"/>
        <v>0</v>
      </c>
      <c r="O22" s="162">
        <f t="shared" si="9"/>
        <v>0</v>
      </c>
      <c r="P22" s="4"/>
    </row>
    <row r="23" spans="2:16">
      <c r="B23" s="9" t="str">
        <f t="shared" si="6"/>
        <v/>
      </c>
      <c r="C23" s="157">
        <f>IF(D11="","-",+C22+1)</f>
        <v>2018</v>
      </c>
      <c r="D23" s="366">
        <v>2987894.5290078041</v>
      </c>
      <c r="E23" s="368">
        <v>73461.491999999998</v>
      </c>
      <c r="F23" s="366">
        <v>2914433.037007804</v>
      </c>
      <c r="G23" s="368">
        <v>467887.49199999997</v>
      </c>
      <c r="H23" s="370">
        <v>467887.49199999997</v>
      </c>
      <c r="I23" s="160">
        <f t="shared" si="0"/>
        <v>0</v>
      </c>
      <c r="J23" s="160"/>
      <c r="K23" s="338">
        <f>G23</f>
        <v>467887.49199999997</v>
      </c>
      <c r="L23" s="272">
        <f t="shared" si="7"/>
        <v>0</v>
      </c>
      <c r="M23" s="338">
        <f>H23</f>
        <v>467887.49199999997</v>
      </c>
      <c r="N23" s="162">
        <f t="shared" si="8"/>
        <v>0</v>
      </c>
      <c r="O23" s="162">
        <f t="shared" si="9"/>
        <v>0</v>
      </c>
      <c r="P23" s="4"/>
    </row>
    <row r="24" spans="2:16">
      <c r="B24" s="9" t="str">
        <f t="shared" si="6"/>
        <v/>
      </c>
      <c r="C24" s="157">
        <f>IF(D11="","-",+C23+1)</f>
        <v>2019</v>
      </c>
      <c r="D24" s="366">
        <v>2914433.037007804</v>
      </c>
      <c r="E24" s="368">
        <v>73461.491999999998</v>
      </c>
      <c r="F24" s="366">
        <v>2840971.5450078039</v>
      </c>
      <c r="G24" s="368">
        <v>457945.49199999997</v>
      </c>
      <c r="H24" s="370">
        <v>457945.49199999997</v>
      </c>
      <c r="I24" s="160">
        <f t="shared" si="0"/>
        <v>0</v>
      </c>
      <c r="J24" s="160"/>
      <c r="K24" s="338">
        <f>G24</f>
        <v>457945.49199999997</v>
      </c>
      <c r="L24" s="272">
        <f t="shared" ref="L24" si="10">IF(K24&lt;&gt;0,+G24-K24,0)</f>
        <v>0</v>
      </c>
      <c r="M24" s="338">
        <f>H24</f>
        <v>457945.49199999997</v>
      </c>
      <c r="N24" s="162">
        <f t="shared" ref="N24" si="11">IF(M24&lt;&gt;0,+H24-M24,0)</f>
        <v>0</v>
      </c>
      <c r="O24" s="162">
        <f t="shared" ref="O24" si="12">+N24-L24</f>
        <v>0</v>
      </c>
      <c r="P24" s="4"/>
    </row>
    <row r="25" spans="2:16">
      <c r="B25" s="9" t="str">
        <f t="shared" si="6"/>
        <v/>
      </c>
      <c r="C25" s="157">
        <f>IF(D11="","-",+C24+1)</f>
        <v>2020</v>
      </c>
      <c r="D25" s="163">
        <f>IF(F24+SUM(E$17:E24)=D$10,F24,D$10-SUM(E$17:E24))</f>
        <v>2840971.5450078039</v>
      </c>
      <c r="E25" s="164">
        <f>IF(+I14&lt;F24,I14,D25)</f>
        <v>78708.741428571433</v>
      </c>
      <c r="F25" s="163">
        <f t="shared" ref="F25:F48" si="13">+D25-E25</f>
        <v>2762262.8035792327</v>
      </c>
      <c r="G25" s="165">
        <f t="shared" ref="G25:G72" si="14">(D25+F25)/2*I$12+E25</f>
        <v>381296.77932523622</v>
      </c>
      <c r="H25" s="147">
        <f t="shared" ref="H25:H72" si="15">+(D25+F25)/2*I$13+E25</f>
        <v>381296.77932523622</v>
      </c>
      <c r="I25" s="160">
        <f t="shared" si="0"/>
        <v>0</v>
      </c>
      <c r="J25" s="160"/>
      <c r="K25" s="335"/>
      <c r="L25" s="162">
        <f t="shared" si="2"/>
        <v>0</v>
      </c>
      <c r="M25" s="335"/>
      <c r="N25" s="162">
        <f t="shared" si="4"/>
        <v>0</v>
      </c>
      <c r="O25" s="162">
        <f t="shared" si="5"/>
        <v>0</v>
      </c>
      <c r="P25" s="4"/>
    </row>
    <row r="26" spans="2:16">
      <c r="B26" s="9" t="str">
        <f t="shared" si="6"/>
        <v/>
      </c>
      <c r="C26" s="157">
        <f>IF(D11="","-",+C25+1)</f>
        <v>2021</v>
      </c>
      <c r="D26" s="163">
        <f>IF(F25+SUM(E$17:E25)=D$10,F25,D$10-SUM(E$17:E25))</f>
        <v>2762262.8035792327</v>
      </c>
      <c r="E26" s="164">
        <f>IF(+I14&lt;F25,I14,D26)</f>
        <v>78708.741428571433</v>
      </c>
      <c r="F26" s="163">
        <f t="shared" si="13"/>
        <v>2683554.0621506614</v>
      </c>
      <c r="G26" s="165">
        <f t="shared" si="14"/>
        <v>372795.85926638031</v>
      </c>
      <c r="H26" s="147">
        <f t="shared" si="15"/>
        <v>372795.85926638031</v>
      </c>
      <c r="I26" s="160">
        <f t="shared" si="0"/>
        <v>0</v>
      </c>
      <c r="J26" s="160"/>
      <c r="K26" s="335"/>
      <c r="L26" s="162">
        <f t="shared" si="2"/>
        <v>0</v>
      </c>
      <c r="M26" s="335"/>
      <c r="N26" s="162">
        <f t="shared" si="4"/>
        <v>0</v>
      </c>
      <c r="O26" s="162">
        <f t="shared" si="5"/>
        <v>0</v>
      </c>
      <c r="P26" s="4"/>
    </row>
    <row r="27" spans="2:16">
      <c r="B27" s="9" t="str">
        <f t="shared" si="6"/>
        <v/>
      </c>
      <c r="C27" s="157">
        <f>IF(D11="","-",+C26+1)</f>
        <v>2022</v>
      </c>
      <c r="D27" s="166">
        <f>IF(F26+SUM(E$17:E26)=D$10,F26,D$10-SUM(E$17:E26))</f>
        <v>2683554.0621506614</v>
      </c>
      <c r="E27" s="164">
        <f>IF(+I14&lt;F26,I14,D27)</f>
        <v>78708.741428571433</v>
      </c>
      <c r="F27" s="163">
        <f t="shared" si="13"/>
        <v>2604845.3207220901</v>
      </c>
      <c r="G27" s="165">
        <f t="shared" si="14"/>
        <v>364294.93920752418</v>
      </c>
      <c r="H27" s="147">
        <f t="shared" si="15"/>
        <v>364294.93920752418</v>
      </c>
      <c r="I27" s="160">
        <f t="shared" si="0"/>
        <v>0</v>
      </c>
      <c r="J27" s="160"/>
      <c r="K27" s="335"/>
      <c r="L27" s="162">
        <f t="shared" si="2"/>
        <v>0</v>
      </c>
      <c r="M27" s="335"/>
      <c r="N27" s="162">
        <f t="shared" si="4"/>
        <v>0</v>
      </c>
      <c r="O27" s="162">
        <f t="shared" si="5"/>
        <v>0</v>
      </c>
      <c r="P27" s="4"/>
    </row>
    <row r="28" spans="2:16">
      <c r="B28" s="9" t="str">
        <f t="shared" si="6"/>
        <v/>
      </c>
      <c r="C28" s="157">
        <f>IF(D11="","-",+C27+1)</f>
        <v>2023</v>
      </c>
      <c r="D28" s="163">
        <f>IF(F27+SUM(E$17:E27)=D$10,F27,D$10-SUM(E$17:E27))</f>
        <v>2604845.3207220901</v>
      </c>
      <c r="E28" s="164">
        <f>IF(+I14&lt;F27,I14,D28)</f>
        <v>78708.741428571433</v>
      </c>
      <c r="F28" s="163">
        <f t="shared" si="13"/>
        <v>2526136.5792935188</v>
      </c>
      <c r="G28" s="165">
        <f t="shared" si="14"/>
        <v>355794.01914866827</v>
      </c>
      <c r="H28" s="147">
        <f t="shared" si="15"/>
        <v>355794.01914866827</v>
      </c>
      <c r="I28" s="160">
        <f t="shared" si="0"/>
        <v>0</v>
      </c>
      <c r="J28" s="160"/>
      <c r="K28" s="335"/>
      <c r="L28" s="162">
        <f t="shared" si="2"/>
        <v>0</v>
      </c>
      <c r="M28" s="335"/>
      <c r="N28" s="162">
        <f t="shared" si="4"/>
        <v>0</v>
      </c>
      <c r="O28" s="162">
        <f t="shared" si="5"/>
        <v>0</v>
      </c>
      <c r="P28" s="4"/>
    </row>
    <row r="29" spans="2:16">
      <c r="B29" s="9" t="str">
        <f t="shared" si="6"/>
        <v/>
      </c>
      <c r="C29" s="157">
        <f>IF(D11="","-",+C28+1)</f>
        <v>2024</v>
      </c>
      <c r="D29" s="163">
        <f>IF(F28+SUM(E$17:E28)=D$10,F28,D$10-SUM(E$17:E28))</f>
        <v>2526136.5792935188</v>
      </c>
      <c r="E29" s="164">
        <f>IF(+I14&lt;F28,I14,D29)</f>
        <v>78708.741428571433</v>
      </c>
      <c r="F29" s="163">
        <f t="shared" si="13"/>
        <v>2447427.8378649475</v>
      </c>
      <c r="G29" s="165">
        <f t="shared" si="14"/>
        <v>347293.09908981214</v>
      </c>
      <c r="H29" s="147">
        <f t="shared" si="15"/>
        <v>347293.09908981214</v>
      </c>
      <c r="I29" s="160">
        <f t="shared" si="0"/>
        <v>0</v>
      </c>
      <c r="J29" s="160"/>
      <c r="K29" s="335"/>
      <c r="L29" s="162">
        <f t="shared" si="2"/>
        <v>0</v>
      </c>
      <c r="M29" s="335"/>
      <c r="N29" s="162">
        <f t="shared" si="4"/>
        <v>0</v>
      </c>
      <c r="O29" s="162">
        <f t="shared" si="5"/>
        <v>0</v>
      </c>
      <c r="P29" s="4"/>
    </row>
    <row r="30" spans="2:16">
      <c r="B30" s="9" t="str">
        <f t="shared" si="6"/>
        <v/>
      </c>
      <c r="C30" s="157">
        <f>IF(D11="","-",+C29+1)</f>
        <v>2025</v>
      </c>
      <c r="D30" s="163">
        <f>IF(F29+SUM(E$17:E29)=D$10,F29,D$10-SUM(E$17:E29))</f>
        <v>2447427.8378649475</v>
      </c>
      <c r="E30" s="164">
        <f>IF(+I14&lt;F29,I14,D30)</f>
        <v>78708.741428571433</v>
      </c>
      <c r="F30" s="163">
        <f t="shared" si="13"/>
        <v>2368719.0964363762</v>
      </c>
      <c r="G30" s="165">
        <f t="shared" si="14"/>
        <v>338792.17903095612</v>
      </c>
      <c r="H30" s="147">
        <f t="shared" si="15"/>
        <v>338792.17903095612</v>
      </c>
      <c r="I30" s="160">
        <f t="shared" si="0"/>
        <v>0</v>
      </c>
      <c r="J30" s="160"/>
      <c r="K30" s="335"/>
      <c r="L30" s="162">
        <f t="shared" si="2"/>
        <v>0</v>
      </c>
      <c r="M30" s="335"/>
      <c r="N30" s="162">
        <f t="shared" si="4"/>
        <v>0</v>
      </c>
      <c r="O30" s="162">
        <f t="shared" si="5"/>
        <v>0</v>
      </c>
      <c r="P30" s="4"/>
    </row>
    <row r="31" spans="2:16">
      <c r="B31" s="9" t="str">
        <f t="shared" si="6"/>
        <v/>
      </c>
      <c r="C31" s="157">
        <f>IF(D11="","-",+C30+1)</f>
        <v>2026</v>
      </c>
      <c r="D31" s="163">
        <f>IF(F30+SUM(E$17:E30)=D$10,F30,D$10-SUM(E$17:E30))</f>
        <v>2368719.0964363762</v>
      </c>
      <c r="E31" s="164">
        <f>IF(+I14&lt;F30,I14,D31)</f>
        <v>78708.741428571433</v>
      </c>
      <c r="F31" s="163">
        <f t="shared" si="13"/>
        <v>2290010.3550078049</v>
      </c>
      <c r="G31" s="165">
        <f t="shared" si="14"/>
        <v>330291.2589721001</v>
      </c>
      <c r="H31" s="147">
        <f t="shared" si="15"/>
        <v>330291.2589721001</v>
      </c>
      <c r="I31" s="160">
        <f t="shared" si="0"/>
        <v>0</v>
      </c>
      <c r="J31" s="160"/>
      <c r="K31" s="335"/>
      <c r="L31" s="162">
        <f t="shared" si="2"/>
        <v>0</v>
      </c>
      <c r="M31" s="335"/>
      <c r="N31" s="162">
        <f t="shared" si="4"/>
        <v>0</v>
      </c>
      <c r="O31" s="162">
        <f t="shared" si="5"/>
        <v>0</v>
      </c>
      <c r="P31" s="4"/>
    </row>
    <row r="32" spans="2:16">
      <c r="B32" s="9" t="str">
        <f t="shared" si="6"/>
        <v/>
      </c>
      <c r="C32" s="157">
        <f>IF(D11="","-",+C31+1)</f>
        <v>2027</v>
      </c>
      <c r="D32" s="163">
        <f>IF(F31+SUM(E$17:E31)=D$10,F31,D$10-SUM(E$17:E31))</f>
        <v>2290010.3550078049</v>
      </c>
      <c r="E32" s="164">
        <f>IF(+I14&lt;F31,I14,D32)</f>
        <v>78708.741428571433</v>
      </c>
      <c r="F32" s="163">
        <f t="shared" si="13"/>
        <v>2211301.6135792336</v>
      </c>
      <c r="G32" s="165">
        <f t="shared" si="14"/>
        <v>321790.33891324408</v>
      </c>
      <c r="H32" s="147">
        <f t="shared" si="15"/>
        <v>321790.33891324408</v>
      </c>
      <c r="I32" s="160">
        <f t="shared" si="0"/>
        <v>0</v>
      </c>
      <c r="J32" s="160"/>
      <c r="K32" s="335"/>
      <c r="L32" s="162">
        <f t="shared" si="2"/>
        <v>0</v>
      </c>
      <c r="M32" s="335"/>
      <c r="N32" s="162">
        <f t="shared" si="4"/>
        <v>0</v>
      </c>
      <c r="O32" s="162">
        <f t="shared" si="5"/>
        <v>0</v>
      </c>
      <c r="P32" s="4"/>
    </row>
    <row r="33" spans="2:16">
      <c r="B33" s="9" t="str">
        <f t="shared" si="6"/>
        <v/>
      </c>
      <c r="C33" s="157">
        <f>IF(D11="","-",+C32+1)</f>
        <v>2028</v>
      </c>
      <c r="D33" s="163">
        <f>IF(F32+SUM(E$17:E32)=D$10,F32,D$10-SUM(E$17:E32))</f>
        <v>2211301.6135792336</v>
      </c>
      <c r="E33" s="164">
        <f>IF(+I14&lt;F32,I14,D33)</f>
        <v>78708.741428571433</v>
      </c>
      <c r="F33" s="163">
        <f t="shared" si="13"/>
        <v>2132592.8721506624</v>
      </c>
      <c r="G33" s="165">
        <f t="shared" si="14"/>
        <v>313289.418854388</v>
      </c>
      <c r="H33" s="147">
        <f t="shared" si="15"/>
        <v>313289.418854388</v>
      </c>
      <c r="I33" s="160">
        <f t="shared" si="0"/>
        <v>0</v>
      </c>
      <c r="J33" s="160"/>
      <c r="K33" s="335"/>
      <c r="L33" s="162">
        <f t="shared" si="2"/>
        <v>0</v>
      </c>
      <c r="M33" s="335"/>
      <c r="N33" s="162">
        <f t="shared" si="4"/>
        <v>0</v>
      </c>
      <c r="O33" s="162">
        <f t="shared" si="5"/>
        <v>0</v>
      </c>
      <c r="P33" s="4"/>
    </row>
    <row r="34" spans="2:16">
      <c r="B34" s="9" t="str">
        <f t="shared" si="6"/>
        <v/>
      </c>
      <c r="C34" s="157">
        <f>IF(D11="","-",+C33+1)</f>
        <v>2029</v>
      </c>
      <c r="D34" s="163">
        <f>IF(F33+SUM(E$17:E33)=D$10,F33,D$10-SUM(E$17:E33))</f>
        <v>2132592.8721506624</v>
      </c>
      <c r="E34" s="164">
        <f>IF(+I14&lt;F33,I14,D34)</f>
        <v>78708.741428571433</v>
      </c>
      <c r="F34" s="163">
        <f t="shared" si="13"/>
        <v>2053884.1307220908</v>
      </c>
      <c r="G34" s="165">
        <f t="shared" si="14"/>
        <v>304788.49879553198</v>
      </c>
      <c r="H34" s="147">
        <f t="shared" si="15"/>
        <v>304788.49879553198</v>
      </c>
      <c r="I34" s="160">
        <f t="shared" si="0"/>
        <v>0</v>
      </c>
      <c r="J34" s="160"/>
      <c r="K34" s="335"/>
      <c r="L34" s="162">
        <f t="shared" si="2"/>
        <v>0</v>
      </c>
      <c r="M34" s="335"/>
      <c r="N34" s="162">
        <f t="shared" si="4"/>
        <v>0</v>
      </c>
      <c r="O34" s="162">
        <f t="shared" si="5"/>
        <v>0</v>
      </c>
      <c r="P34" s="4"/>
    </row>
    <row r="35" spans="2:16">
      <c r="B35" s="9" t="str">
        <f t="shared" si="6"/>
        <v/>
      </c>
      <c r="C35" s="157">
        <f>IF(D11="","-",+C34+1)</f>
        <v>2030</v>
      </c>
      <c r="D35" s="163">
        <f>IF(F34+SUM(E$17:E34)=D$10,F34,D$10-SUM(E$17:E34))</f>
        <v>2053884.1307220908</v>
      </c>
      <c r="E35" s="164">
        <f>IF(+I14&lt;F34,I14,D35)</f>
        <v>78708.741428571433</v>
      </c>
      <c r="F35" s="163">
        <f t="shared" si="13"/>
        <v>1975175.3892935193</v>
      </c>
      <c r="G35" s="165">
        <f t="shared" si="14"/>
        <v>296287.57873667596</v>
      </c>
      <c r="H35" s="147">
        <f t="shared" si="15"/>
        <v>296287.57873667596</v>
      </c>
      <c r="I35" s="160">
        <f t="shared" si="0"/>
        <v>0</v>
      </c>
      <c r="J35" s="160"/>
      <c r="K35" s="335"/>
      <c r="L35" s="162">
        <f t="shared" si="2"/>
        <v>0</v>
      </c>
      <c r="M35" s="335"/>
      <c r="N35" s="162">
        <f t="shared" si="4"/>
        <v>0</v>
      </c>
      <c r="O35" s="162">
        <f t="shared" si="5"/>
        <v>0</v>
      </c>
      <c r="P35" s="4"/>
    </row>
    <row r="36" spans="2:16">
      <c r="B36" s="9" t="str">
        <f t="shared" si="6"/>
        <v/>
      </c>
      <c r="C36" s="157">
        <f>IF(D11="","-",+C35+1)</f>
        <v>2031</v>
      </c>
      <c r="D36" s="163">
        <f>IF(F35+SUM(E$17:E35)=D$10,F35,D$10-SUM(E$17:E35))</f>
        <v>1975175.3892935193</v>
      </c>
      <c r="E36" s="164">
        <f>IF(+I14&lt;F35,I14,D36)</f>
        <v>78708.741428571433</v>
      </c>
      <c r="F36" s="163">
        <f t="shared" si="13"/>
        <v>1896466.6478649478</v>
      </c>
      <c r="G36" s="165">
        <f t="shared" si="14"/>
        <v>287786.65867781988</v>
      </c>
      <c r="H36" s="147">
        <f t="shared" si="15"/>
        <v>287786.65867781988</v>
      </c>
      <c r="I36" s="160">
        <f t="shared" si="0"/>
        <v>0</v>
      </c>
      <c r="J36" s="160"/>
      <c r="K36" s="335"/>
      <c r="L36" s="162">
        <f t="shared" si="2"/>
        <v>0</v>
      </c>
      <c r="M36" s="335"/>
      <c r="N36" s="162">
        <f t="shared" si="4"/>
        <v>0</v>
      </c>
      <c r="O36" s="162">
        <f t="shared" si="5"/>
        <v>0</v>
      </c>
      <c r="P36" s="4"/>
    </row>
    <row r="37" spans="2:16">
      <c r="B37" s="9" t="str">
        <f t="shared" si="6"/>
        <v/>
      </c>
      <c r="C37" s="157">
        <f>IF(D11="","-",+C36+1)</f>
        <v>2032</v>
      </c>
      <c r="D37" s="163">
        <f>IF(F36+SUM(E$17:E36)=D$10,F36,D$10-SUM(E$17:E36))</f>
        <v>1896466.6478649478</v>
      </c>
      <c r="E37" s="164">
        <f>IF(+I14&lt;F36,I14,D37)</f>
        <v>78708.741428571433</v>
      </c>
      <c r="F37" s="163">
        <f t="shared" si="13"/>
        <v>1817757.9064363763</v>
      </c>
      <c r="G37" s="165">
        <f t="shared" si="14"/>
        <v>279285.73861896386</v>
      </c>
      <c r="H37" s="147">
        <f t="shared" si="15"/>
        <v>279285.73861896386</v>
      </c>
      <c r="I37" s="160">
        <f t="shared" si="0"/>
        <v>0</v>
      </c>
      <c r="J37" s="160"/>
      <c r="K37" s="335"/>
      <c r="L37" s="162">
        <f t="shared" si="2"/>
        <v>0</v>
      </c>
      <c r="M37" s="335"/>
      <c r="N37" s="162">
        <f t="shared" si="4"/>
        <v>0</v>
      </c>
      <c r="O37" s="162">
        <f t="shared" si="5"/>
        <v>0</v>
      </c>
      <c r="P37" s="4"/>
    </row>
    <row r="38" spans="2:16">
      <c r="B38" s="9" t="str">
        <f t="shared" si="6"/>
        <v/>
      </c>
      <c r="C38" s="157">
        <f>IF(D11="","-",+C37+1)</f>
        <v>2033</v>
      </c>
      <c r="D38" s="163">
        <f>IF(F37+SUM(E$17:E37)=D$10,F37,D$10-SUM(E$17:E37))</f>
        <v>1817757.9064363763</v>
      </c>
      <c r="E38" s="164">
        <f>IF(+I14&lt;F37,I14,D38)</f>
        <v>78708.741428571433</v>
      </c>
      <c r="F38" s="163">
        <f t="shared" si="13"/>
        <v>1739049.1650078048</v>
      </c>
      <c r="G38" s="165">
        <f t="shared" si="14"/>
        <v>270784.81856010773</v>
      </c>
      <c r="H38" s="147">
        <f t="shared" si="15"/>
        <v>270784.81856010773</v>
      </c>
      <c r="I38" s="160">
        <f t="shared" si="0"/>
        <v>0</v>
      </c>
      <c r="J38" s="160"/>
      <c r="K38" s="335"/>
      <c r="L38" s="162">
        <f t="shared" si="2"/>
        <v>0</v>
      </c>
      <c r="M38" s="335"/>
      <c r="N38" s="162">
        <f t="shared" si="4"/>
        <v>0</v>
      </c>
      <c r="O38" s="162">
        <f t="shared" si="5"/>
        <v>0</v>
      </c>
      <c r="P38" s="4"/>
    </row>
    <row r="39" spans="2:16">
      <c r="B39" s="9" t="str">
        <f t="shared" si="6"/>
        <v/>
      </c>
      <c r="C39" s="157">
        <f>IF(D11="","-",+C38+1)</f>
        <v>2034</v>
      </c>
      <c r="D39" s="163">
        <f>IF(F38+SUM(E$17:E38)=D$10,F38,D$10-SUM(E$17:E38))</f>
        <v>1739049.1650078048</v>
      </c>
      <c r="E39" s="164">
        <f>IF(+I14&lt;F38,I14,D39)</f>
        <v>78708.741428571433</v>
      </c>
      <c r="F39" s="163">
        <f t="shared" si="13"/>
        <v>1660340.4235792332</v>
      </c>
      <c r="G39" s="165">
        <f t="shared" si="14"/>
        <v>262283.89850125171</v>
      </c>
      <c r="H39" s="147">
        <f t="shared" si="15"/>
        <v>262283.89850125171</v>
      </c>
      <c r="I39" s="160">
        <f t="shared" si="0"/>
        <v>0</v>
      </c>
      <c r="J39" s="160"/>
      <c r="K39" s="335"/>
      <c r="L39" s="162">
        <f t="shared" si="2"/>
        <v>0</v>
      </c>
      <c r="M39" s="335"/>
      <c r="N39" s="162">
        <f t="shared" si="4"/>
        <v>0</v>
      </c>
      <c r="O39" s="162">
        <f t="shared" si="5"/>
        <v>0</v>
      </c>
      <c r="P39" s="4"/>
    </row>
    <row r="40" spans="2:16">
      <c r="B40" s="9" t="str">
        <f t="shared" si="6"/>
        <v/>
      </c>
      <c r="C40" s="157">
        <f>IF(D11="","-",+C39+1)</f>
        <v>2035</v>
      </c>
      <c r="D40" s="163">
        <f>IF(F39+SUM(E$17:E39)=D$10,F39,D$10-SUM(E$17:E39))</f>
        <v>1660340.4235792332</v>
      </c>
      <c r="E40" s="164">
        <f>IF(+I14&lt;F39,I14,D40)</f>
        <v>78708.741428571433</v>
      </c>
      <c r="F40" s="163">
        <f t="shared" si="13"/>
        <v>1581631.6821506617</v>
      </c>
      <c r="G40" s="165">
        <f t="shared" si="14"/>
        <v>253782.97844239563</v>
      </c>
      <c r="H40" s="147">
        <f t="shared" si="15"/>
        <v>253782.97844239563</v>
      </c>
      <c r="I40" s="160">
        <f t="shared" si="0"/>
        <v>0</v>
      </c>
      <c r="J40" s="160"/>
      <c r="K40" s="335"/>
      <c r="L40" s="162">
        <f t="shared" si="2"/>
        <v>0</v>
      </c>
      <c r="M40" s="335"/>
      <c r="N40" s="162">
        <f t="shared" si="4"/>
        <v>0</v>
      </c>
      <c r="O40" s="162">
        <f t="shared" si="5"/>
        <v>0</v>
      </c>
      <c r="P40" s="4"/>
    </row>
    <row r="41" spans="2:16">
      <c r="B41" s="9" t="str">
        <f t="shared" si="6"/>
        <v/>
      </c>
      <c r="C41" s="157">
        <f>IF(D11="","-",+C40+1)</f>
        <v>2036</v>
      </c>
      <c r="D41" s="163">
        <f>IF(F40+SUM(E$17:E40)=D$10,F40,D$10-SUM(E$17:E40))</f>
        <v>1581631.6821506617</v>
      </c>
      <c r="E41" s="164">
        <f>IF(+I14&lt;F40,I14,D41)</f>
        <v>78708.741428571433</v>
      </c>
      <c r="F41" s="163">
        <f t="shared" si="13"/>
        <v>1502922.9407220902</v>
      </c>
      <c r="G41" s="165">
        <f t="shared" si="14"/>
        <v>245282.05838353961</v>
      </c>
      <c r="H41" s="147">
        <f t="shared" si="15"/>
        <v>245282.05838353961</v>
      </c>
      <c r="I41" s="160">
        <f t="shared" si="0"/>
        <v>0</v>
      </c>
      <c r="J41" s="160"/>
      <c r="K41" s="335"/>
      <c r="L41" s="162">
        <f t="shared" si="2"/>
        <v>0</v>
      </c>
      <c r="M41" s="335"/>
      <c r="N41" s="162">
        <f t="shared" si="4"/>
        <v>0</v>
      </c>
      <c r="O41" s="162">
        <f t="shared" si="5"/>
        <v>0</v>
      </c>
      <c r="P41" s="4"/>
    </row>
    <row r="42" spans="2:16">
      <c r="B42" s="9" t="str">
        <f t="shared" si="6"/>
        <v/>
      </c>
      <c r="C42" s="157">
        <f>IF(D11="","-",+C41+1)</f>
        <v>2037</v>
      </c>
      <c r="D42" s="163">
        <f>IF(F41+SUM(E$17:E41)=D$10,F41,D$10-SUM(E$17:E41))</f>
        <v>1502922.9407220902</v>
      </c>
      <c r="E42" s="164">
        <f>IF(+I14&lt;F41,I14,D42)</f>
        <v>78708.741428571433</v>
      </c>
      <c r="F42" s="163">
        <f t="shared" si="13"/>
        <v>1424214.1992935187</v>
      </c>
      <c r="G42" s="165">
        <f t="shared" si="14"/>
        <v>236781.13832468353</v>
      </c>
      <c r="H42" s="147">
        <f t="shared" si="15"/>
        <v>236781.13832468353</v>
      </c>
      <c r="I42" s="160">
        <f t="shared" si="0"/>
        <v>0</v>
      </c>
      <c r="J42" s="160"/>
      <c r="K42" s="335"/>
      <c r="L42" s="162">
        <f t="shared" si="2"/>
        <v>0</v>
      </c>
      <c r="M42" s="335"/>
      <c r="N42" s="162">
        <f t="shared" si="4"/>
        <v>0</v>
      </c>
      <c r="O42" s="162">
        <f t="shared" si="5"/>
        <v>0</v>
      </c>
      <c r="P42" s="4"/>
    </row>
    <row r="43" spans="2:16">
      <c r="B43" s="9" t="str">
        <f t="shared" si="6"/>
        <v/>
      </c>
      <c r="C43" s="157">
        <f>IF(D11="","-",+C42+1)</f>
        <v>2038</v>
      </c>
      <c r="D43" s="163">
        <f>IF(F42+SUM(E$17:E42)=D$10,F42,D$10-SUM(E$17:E42))</f>
        <v>1424214.1992935187</v>
      </c>
      <c r="E43" s="164">
        <f>IF(+I14&lt;F42,I14,D43)</f>
        <v>78708.741428571433</v>
      </c>
      <c r="F43" s="163">
        <f t="shared" si="13"/>
        <v>1345505.4578649472</v>
      </c>
      <c r="G43" s="165">
        <f t="shared" si="14"/>
        <v>228280.21826582751</v>
      </c>
      <c r="H43" s="147">
        <f t="shared" si="15"/>
        <v>228280.21826582751</v>
      </c>
      <c r="I43" s="160">
        <f t="shared" si="0"/>
        <v>0</v>
      </c>
      <c r="J43" s="160"/>
      <c r="K43" s="335"/>
      <c r="L43" s="162">
        <f t="shared" si="2"/>
        <v>0</v>
      </c>
      <c r="M43" s="335"/>
      <c r="N43" s="162">
        <f t="shared" si="4"/>
        <v>0</v>
      </c>
      <c r="O43" s="162">
        <f t="shared" si="5"/>
        <v>0</v>
      </c>
      <c r="P43" s="4"/>
    </row>
    <row r="44" spans="2:16">
      <c r="B44" s="9" t="str">
        <f t="shared" si="6"/>
        <v/>
      </c>
      <c r="C44" s="157">
        <f>IF(D11="","-",+C43+1)</f>
        <v>2039</v>
      </c>
      <c r="D44" s="163">
        <f>IF(F43+SUM(E$17:E43)=D$10,F43,D$10-SUM(E$17:E43))</f>
        <v>1345505.4578649472</v>
      </c>
      <c r="E44" s="164">
        <f>IF(+I14&lt;F43,I14,D44)</f>
        <v>78708.741428571433</v>
      </c>
      <c r="F44" s="163">
        <f t="shared" si="13"/>
        <v>1266796.7164363756</v>
      </c>
      <c r="G44" s="165">
        <f t="shared" si="14"/>
        <v>219779.29820697141</v>
      </c>
      <c r="H44" s="147">
        <f t="shared" si="15"/>
        <v>219779.29820697141</v>
      </c>
      <c r="I44" s="160">
        <f t="shared" si="0"/>
        <v>0</v>
      </c>
      <c r="J44" s="160"/>
      <c r="K44" s="335"/>
      <c r="L44" s="162">
        <f t="shared" si="2"/>
        <v>0</v>
      </c>
      <c r="M44" s="335"/>
      <c r="N44" s="162">
        <f t="shared" si="4"/>
        <v>0</v>
      </c>
      <c r="O44" s="162">
        <f t="shared" si="5"/>
        <v>0</v>
      </c>
      <c r="P44" s="4"/>
    </row>
    <row r="45" spans="2:16">
      <c r="B45" s="9" t="str">
        <f t="shared" si="6"/>
        <v/>
      </c>
      <c r="C45" s="157">
        <f>IF(D11="","-",+C44+1)</f>
        <v>2040</v>
      </c>
      <c r="D45" s="163">
        <f>IF(F44+SUM(E$17:E44)=D$10,F44,D$10-SUM(E$17:E44))</f>
        <v>1266796.7164363756</v>
      </c>
      <c r="E45" s="164">
        <f>IF(+I14&lt;F44,I14,D45)</f>
        <v>78708.741428571433</v>
      </c>
      <c r="F45" s="163">
        <f t="shared" si="13"/>
        <v>1188087.9750078041</v>
      </c>
      <c r="G45" s="165">
        <f t="shared" si="14"/>
        <v>211278.37814811539</v>
      </c>
      <c r="H45" s="147">
        <f t="shared" si="15"/>
        <v>211278.37814811539</v>
      </c>
      <c r="I45" s="160">
        <f t="shared" si="0"/>
        <v>0</v>
      </c>
      <c r="J45" s="160"/>
      <c r="K45" s="335"/>
      <c r="L45" s="162">
        <f t="shared" si="2"/>
        <v>0</v>
      </c>
      <c r="M45" s="335"/>
      <c r="N45" s="162">
        <f t="shared" si="4"/>
        <v>0</v>
      </c>
      <c r="O45" s="162">
        <f t="shared" si="5"/>
        <v>0</v>
      </c>
      <c r="P45" s="4"/>
    </row>
    <row r="46" spans="2:16">
      <c r="B46" s="9" t="str">
        <f t="shared" si="6"/>
        <v/>
      </c>
      <c r="C46" s="157">
        <f>IF(D11="","-",+C45+1)</f>
        <v>2041</v>
      </c>
      <c r="D46" s="163">
        <f>IF(F45+SUM(E$17:E45)=D$10,F45,D$10-SUM(E$17:E45))</f>
        <v>1188087.9750078041</v>
      </c>
      <c r="E46" s="164">
        <f>IF(+I14&lt;F45,I14,D46)</f>
        <v>78708.741428571433</v>
      </c>
      <c r="F46" s="163">
        <f t="shared" si="13"/>
        <v>1109379.2335792326</v>
      </c>
      <c r="G46" s="165">
        <f t="shared" si="14"/>
        <v>202777.45808925931</v>
      </c>
      <c r="H46" s="147">
        <f t="shared" si="15"/>
        <v>202777.45808925931</v>
      </c>
      <c r="I46" s="160">
        <f t="shared" si="0"/>
        <v>0</v>
      </c>
      <c r="J46" s="160"/>
      <c r="K46" s="335"/>
      <c r="L46" s="162">
        <f t="shared" si="2"/>
        <v>0</v>
      </c>
      <c r="M46" s="335"/>
      <c r="N46" s="162">
        <f t="shared" si="4"/>
        <v>0</v>
      </c>
      <c r="O46" s="162">
        <f t="shared" si="5"/>
        <v>0</v>
      </c>
      <c r="P46" s="4"/>
    </row>
    <row r="47" spans="2:16">
      <c r="B47" s="9" t="str">
        <f t="shared" si="6"/>
        <v/>
      </c>
      <c r="C47" s="157">
        <f>IF(D11="","-",+C46+1)</f>
        <v>2042</v>
      </c>
      <c r="D47" s="163">
        <f>IF(F46+SUM(E$17:E46)=D$10,F46,D$10-SUM(E$17:E46))</f>
        <v>1109379.2335792326</v>
      </c>
      <c r="E47" s="164">
        <f>IF(+I14&lt;F46,I14,D47)</f>
        <v>78708.741428571433</v>
      </c>
      <c r="F47" s="163">
        <f t="shared" si="13"/>
        <v>1030670.4921506612</v>
      </c>
      <c r="G47" s="165">
        <f t="shared" si="14"/>
        <v>194276.53803040326</v>
      </c>
      <c r="H47" s="147">
        <f t="shared" si="15"/>
        <v>194276.53803040326</v>
      </c>
      <c r="I47" s="160">
        <f t="shared" si="0"/>
        <v>0</v>
      </c>
      <c r="J47" s="160"/>
      <c r="K47" s="335"/>
      <c r="L47" s="162">
        <f t="shared" si="2"/>
        <v>0</v>
      </c>
      <c r="M47" s="335"/>
      <c r="N47" s="162">
        <f t="shared" si="4"/>
        <v>0</v>
      </c>
      <c r="O47" s="162">
        <f t="shared" si="5"/>
        <v>0</v>
      </c>
      <c r="P47" s="4"/>
    </row>
    <row r="48" spans="2:16">
      <c r="B48" s="9" t="str">
        <f t="shared" si="6"/>
        <v/>
      </c>
      <c r="C48" s="157">
        <f>IF(D11="","-",+C47+1)</f>
        <v>2043</v>
      </c>
      <c r="D48" s="163">
        <f>IF(F47+SUM(E$17:E47)=D$10,F47,D$10-SUM(E$17:E47))</f>
        <v>1030670.4921506612</v>
      </c>
      <c r="E48" s="164">
        <f>IF(+I14&lt;F47,I14,D48)</f>
        <v>78708.741428571433</v>
      </c>
      <c r="F48" s="163">
        <f t="shared" si="13"/>
        <v>951961.75072208978</v>
      </c>
      <c r="G48" s="165">
        <f t="shared" si="14"/>
        <v>185775.61797154721</v>
      </c>
      <c r="H48" s="147">
        <f t="shared" si="15"/>
        <v>185775.61797154721</v>
      </c>
      <c r="I48" s="160">
        <f t="shared" si="0"/>
        <v>0</v>
      </c>
      <c r="J48" s="160"/>
      <c r="K48" s="335"/>
      <c r="L48" s="162">
        <f t="shared" si="2"/>
        <v>0</v>
      </c>
      <c r="M48" s="335"/>
      <c r="N48" s="162">
        <f t="shared" si="4"/>
        <v>0</v>
      </c>
      <c r="O48" s="162">
        <f t="shared" si="5"/>
        <v>0</v>
      </c>
      <c r="P48" s="4"/>
    </row>
    <row r="49" spans="2:16">
      <c r="B49" s="9" t="str">
        <f t="shared" si="6"/>
        <v/>
      </c>
      <c r="C49" s="157">
        <f>IF(D11="","-",+C48+1)</f>
        <v>2044</v>
      </c>
      <c r="D49" s="163">
        <f>IF(F48+SUM(E$17:E48)=D$10,F48,D$10-SUM(E$17:E48))</f>
        <v>951961.75072208978</v>
      </c>
      <c r="E49" s="164">
        <f>IF(+I14&lt;F48,I14,D49)</f>
        <v>78708.741428571433</v>
      </c>
      <c r="F49" s="163">
        <f t="shared" ref="F49:F72" si="16">+D49-E49</f>
        <v>873253.00929351838</v>
      </c>
      <c r="G49" s="165">
        <f t="shared" si="14"/>
        <v>177274.69791269119</v>
      </c>
      <c r="H49" s="147">
        <f t="shared" si="15"/>
        <v>177274.69791269119</v>
      </c>
      <c r="I49" s="160">
        <f t="shared" ref="I49:I72" si="17">H49-G49</f>
        <v>0</v>
      </c>
      <c r="J49" s="160"/>
      <c r="K49" s="335"/>
      <c r="L49" s="162">
        <f t="shared" ref="L49:L72" si="18">IF(K49&lt;&gt;0,+G49-K49,0)</f>
        <v>0</v>
      </c>
      <c r="M49" s="335"/>
      <c r="N49" s="162">
        <f t="shared" ref="N49:N72" si="19">IF(M49&lt;&gt;0,+H49-M49,0)</f>
        <v>0</v>
      </c>
      <c r="O49" s="162">
        <f t="shared" ref="O49:O72" si="20">+N49-L49</f>
        <v>0</v>
      </c>
      <c r="P49" s="4"/>
    </row>
    <row r="50" spans="2:16">
      <c r="B50" s="9" t="str">
        <f t="shared" ref="B50:B72" si="21">IF(D50=F49,"","IU")</f>
        <v/>
      </c>
      <c r="C50" s="157">
        <f>IF(D11="","-",+C49+1)</f>
        <v>2045</v>
      </c>
      <c r="D50" s="163">
        <f>IF(F49+SUM(E$17:E49)=D$10,F49,D$10-SUM(E$17:E49))</f>
        <v>873253.00929351838</v>
      </c>
      <c r="E50" s="164">
        <f>IF(+I14&lt;F49,I14,D50)</f>
        <v>78708.741428571433</v>
      </c>
      <c r="F50" s="163">
        <f t="shared" si="16"/>
        <v>794544.26786494697</v>
      </c>
      <c r="G50" s="165">
        <f t="shared" si="14"/>
        <v>168773.77785383514</v>
      </c>
      <c r="H50" s="147">
        <f t="shared" si="15"/>
        <v>168773.77785383514</v>
      </c>
      <c r="I50" s="160">
        <f t="shared" si="17"/>
        <v>0</v>
      </c>
      <c r="J50" s="160"/>
      <c r="K50" s="335"/>
      <c r="L50" s="162">
        <f t="shared" si="18"/>
        <v>0</v>
      </c>
      <c r="M50" s="335"/>
      <c r="N50" s="162">
        <f t="shared" si="19"/>
        <v>0</v>
      </c>
      <c r="O50" s="162">
        <f t="shared" si="20"/>
        <v>0</v>
      </c>
      <c r="P50" s="4"/>
    </row>
    <row r="51" spans="2:16">
      <c r="B51" s="9" t="str">
        <f t="shared" si="21"/>
        <v/>
      </c>
      <c r="C51" s="157">
        <f>IF(D11="","-",+C50+1)</f>
        <v>2046</v>
      </c>
      <c r="D51" s="163">
        <f>IF(F50+SUM(E$17:E50)=D$10,F50,D$10-SUM(E$17:E50))</f>
        <v>794544.26786494697</v>
      </c>
      <c r="E51" s="164">
        <f>IF(+I14&lt;F50,I14,D51)</f>
        <v>78708.741428571433</v>
      </c>
      <c r="F51" s="163">
        <f t="shared" si="16"/>
        <v>715835.52643637557</v>
      </c>
      <c r="G51" s="165">
        <f t="shared" si="14"/>
        <v>160272.85779497909</v>
      </c>
      <c r="H51" s="147">
        <f t="shared" si="15"/>
        <v>160272.85779497909</v>
      </c>
      <c r="I51" s="160">
        <f t="shared" si="17"/>
        <v>0</v>
      </c>
      <c r="J51" s="160"/>
      <c r="K51" s="335"/>
      <c r="L51" s="162">
        <f t="shared" si="18"/>
        <v>0</v>
      </c>
      <c r="M51" s="335"/>
      <c r="N51" s="162">
        <f t="shared" si="19"/>
        <v>0</v>
      </c>
      <c r="O51" s="162">
        <f t="shared" si="20"/>
        <v>0</v>
      </c>
      <c r="P51" s="4"/>
    </row>
    <row r="52" spans="2:16">
      <c r="B52" s="9" t="str">
        <f t="shared" si="21"/>
        <v/>
      </c>
      <c r="C52" s="157">
        <f>IF(D11="","-",+C51+1)</f>
        <v>2047</v>
      </c>
      <c r="D52" s="163">
        <f>IF(F51+SUM(E$17:E51)=D$10,F51,D$10-SUM(E$17:E51))</f>
        <v>715835.52643637557</v>
      </c>
      <c r="E52" s="164">
        <f>IF(+I14&lt;F51,I14,D52)</f>
        <v>78708.741428571433</v>
      </c>
      <c r="F52" s="163">
        <f t="shared" si="16"/>
        <v>637126.78500780417</v>
      </c>
      <c r="G52" s="165">
        <f t="shared" si="14"/>
        <v>151771.93773612304</v>
      </c>
      <c r="H52" s="147">
        <f t="shared" si="15"/>
        <v>151771.93773612304</v>
      </c>
      <c r="I52" s="160">
        <f t="shared" si="17"/>
        <v>0</v>
      </c>
      <c r="J52" s="160"/>
      <c r="K52" s="335"/>
      <c r="L52" s="162">
        <f t="shared" si="18"/>
        <v>0</v>
      </c>
      <c r="M52" s="335"/>
      <c r="N52" s="162">
        <f t="shared" si="19"/>
        <v>0</v>
      </c>
      <c r="O52" s="162">
        <f t="shared" si="20"/>
        <v>0</v>
      </c>
      <c r="P52" s="4"/>
    </row>
    <row r="53" spans="2:16">
      <c r="B53" s="9" t="str">
        <f t="shared" si="21"/>
        <v/>
      </c>
      <c r="C53" s="157">
        <f>IF(D11="","-",+C52+1)</f>
        <v>2048</v>
      </c>
      <c r="D53" s="163">
        <f>IF(F52+SUM(E$17:E52)=D$10,F52,D$10-SUM(E$17:E52))</f>
        <v>637126.78500780417</v>
      </c>
      <c r="E53" s="164">
        <f>IF(+I14&lt;F52,I14,D53)</f>
        <v>78708.741428571433</v>
      </c>
      <c r="F53" s="163">
        <f t="shared" si="16"/>
        <v>558418.04357923276</v>
      </c>
      <c r="G53" s="165">
        <f t="shared" si="14"/>
        <v>143271.01767726702</v>
      </c>
      <c r="H53" s="147">
        <f t="shared" si="15"/>
        <v>143271.01767726702</v>
      </c>
      <c r="I53" s="160">
        <f t="shared" si="17"/>
        <v>0</v>
      </c>
      <c r="J53" s="160"/>
      <c r="K53" s="335"/>
      <c r="L53" s="162">
        <f t="shared" si="18"/>
        <v>0</v>
      </c>
      <c r="M53" s="335"/>
      <c r="N53" s="162">
        <f t="shared" si="19"/>
        <v>0</v>
      </c>
      <c r="O53" s="162">
        <f t="shared" si="20"/>
        <v>0</v>
      </c>
      <c r="P53" s="4"/>
    </row>
    <row r="54" spans="2:16">
      <c r="B54" s="9" t="str">
        <f t="shared" si="21"/>
        <v/>
      </c>
      <c r="C54" s="157">
        <f>IF(D11="","-",+C53+1)</f>
        <v>2049</v>
      </c>
      <c r="D54" s="163">
        <f>IF(F53+SUM(E$17:E53)=D$10,F53,D$10-SUM(E$17:E53))</f>
        <v>558418.04357923276</v>
      </c>
      <c r="E54" s="164">
        <f>IF(+I14&lt;F53,I14,D54)</f>
        <v>78708.741428571433</v>
      </c>
      <c r="F54" s="163">
        <f t="shared" si="16"/>
        <v>479709.30215066136</v>
      </c>
      <c r="G54" s="165">
        <f t="shared" si="14"/>
        <v>134770.09761841095</v>
      </c>
      <c r="H54" s="147">
        <f t="shared" si="15"/>
        <v>134770.09761841095</v>
      </c>
      <c r="I54" s="160">
        <f t="shared" si="17"/>
        <v>0</v>
      </c>
      <c r="J54" s="160"/>
      <c r="K54" s="335"/>
      <c r="L54" s="162">
        <f t="shared" si="18"/>
        <v>0</v>
      </c>
      <c r="M54" s="335"/>
      <c r="N54" s="162">
        <f t="shared" si="19"/>
        <v>0</v>
      </c>
      <c r="O54" s="162">
        <f t="shared" si="20"/>
        <v>0</v>
      </c>
      <c r="P54" s="4"/>
    </row>
    <row r="55" spans="2:16">
      <c r="B55" s="9" t="str">
        <f t="shared" si="21"/>
        <v/>
      </c>
      <c r="C55" s="157">
        <f>IF(D11="","-",+C54+1)</f>
        <v>2050</v>
      </c>
      <c r="D55" s="163">
        <f>IF(F54+SUM(E$17:E54)=D$10,F54,D$10-SUM(E$17:E54))</f>
        <v>479709.30215066136</v>
      </c>
      <c r="E55" s="164">
        <f>IF(+I14&lt;F54,I14,D55)</f>
        <v>78708.741428571433</v>
      </c>
      <c r="F55" s="163">
        <f t="shared" si="16"/>
        <v>401000.56072208995</v>
      </c>
      <c r="G55" s="165">
        <f t="shared" si="14"/>
        <v>126269.17755955491</v>
      </c>
      <c r="H55" s="147">
        <f t="shared" si="15"/>
        <v>126269.17755955491</v>
      </c>
      <c r="I55" s="160">
        <f t="shared" si="17"/>
        <v>0</v>
      </c>
      <c r="J55" s="160"/>
      <c r="K55" s="335"/>
      <c r="L55" s="162">
        <f t="shared" si="18"/>
        <v>0</v>
      </c>
      <c r="M55" s="335"/>
      <c r="N55" s="162">
        <f t="shared" si="19"/>
        <v>0</v>
      </c>
      <c r="O55" s="162">
        <f t="shared" si="20"/>
        <v>0</v>
      </c>
      <c r="P55" s="4"/>
    </row>
    <row r="56" spans="2:16">
      <c r="B56" s="9" t="str">
        <f t="shared" si="21"/>
        <v/>
      </c>
      <c r="C56" s="157">
        <f>IF(D11="","-",+C55+1)</f>
        <v>2051</v>
      </c>
      <c r="D56" s="163">
        <f>IF(F55+SUM(E$17:E55)=D$10,F55,D$10-SUM(E$17:E55))</f>
        <v>401000.56072208995</v>
      </c>
      <c r="E56" s="164">
        <f>IF(+I14&lt;F55,I14,D56)</f>
        <v>78708.741428571433</v>
      </c>
      <c r="F56" s="163">
        <f t="shared" si="16"/>
        <v>322291.81929351855</v>
      </c>
      <c r="G56" s="165">
        <f t="shared" si="14"/>
        <v>117768.25750069888</v>
      </c>
      <c r="H56" s="147">
        <f t="shared" si="15"/>
        <v>117768.25750069888</v>
      </c>
      <c r="I56" s="160">
        <f t="shared" si="17"/>
        <v>0</v>
      </c>
      <c r="J56" s="160"/>
      <c r="K56" s="335"/>
      <c r="L56" s="162">
        <f t="shared" si="18"/>
        <v>0</v>
      </c>
      <c r="M56" s="335"/>
      <c r="N56" s="162">
        <f t="shared" si="19"/>
        <v>0</v>
      </c>
      <c r="O56" s="162">
        <f t="shared" si="20"/>
        <v>0</v>
      </c>
      <c r="P56" s="4"/>
    </row>
    <row r="57" spans="2:16">
      <c r="B57" s="9" t="str">
        <f t="shared" si="21"/>
        <v/>
      </c>
      <c r="C57" s="157">
        <f>IF(D11="","-",+C56+1)</f>
        <v>2052</v>
      </c>
      <c r="D57" s="163">
        <f>IF(F56+SUM(E$17:E56)=D$10,F56,D$10-SUM(E$17:E56))</f>
        <v>322291.81929351855</v>
      </c>
      <c r="E57" s="164">
        <f>IF(+I14&lt;F56,I14,D57)</f>
        <v>78708.741428571433</v>
      </c>
      <c r="F57" s="163">
        <f t="shared" si="16"/>
        <v>243583.07786494712</v>
      </c>
      <c r="G57" s="165">
        <f t="shared" si="14"/>
        <v>109267.33744184283</v>
      </c>
      <c r="H57" s="147">
        <f t="shared" si="15"/>
        <v>109267.33744184283</v>
      </c>
      <c r="I57" s="160">
        <f t="shared" si="17"/>
        <v>0</v>
      </c>
      <c r="J57" s="160"/>
      <c r="K57" s="335"/>
      <c r="L57" s="162">
        <f t="shared" si="18"/>
        <v>0</v>
      </c>
      <c r="M57" s="335"/>
      <c r="N57" s="162">
        <f t="shared" si="19"/>
        <v>0</v>
      </c>
      <c r="O57" s="162">
        <f t="shared" si="20"/>
        <v>0</v>
      </c>
      <c r="P57" s="4"/>
    </row>
    <row r="58" spans="2:16">
      <c r="B58" s="9" t="str">
        <f t="shared" si="21"/>
        <v/>
      </c>
      <c r="C58" s="157">
        <f>IF(D11="","-",+C57+1)</f>
        <v>2053</v>
      </c>
      <c r="D58" s="163">
        <f>IF(F57+SUM(E$17:E57)=D$10,F57,D$10-SUM(E$17:E57))</f>
        <v>243583.07786494712</v>
      </c>
      <c r="E58" s="164">
        <f>IF(+I14&lt;F57,I14,D58)</f>
        <v>78708.741428571433</v>
      </c>
      <c r="F58" s="163">
        <f t="shared" si="16"/>
        <v>164874.33643637568</v>
      </c>
      <c r="G58" s="165">
        <f t="shared" si="14"/>
        <v>100766.41738298678</v>
      </c>
      <c r="H58" s="147">
        <f t="shared" si="15"/>
        <v>100766.41738298678</v>
      </c>
      <c r="I58" s="160">
        <f t="shared" si="17"/>
        <v>0</v>
      </c>
      <c r="J58" s="160"/>
      <c r="K58" s="335"/>
      <c r="L58" s="162">
        <f t="shared" si="18"/>
        <v>0</v>
      </c>
      <c r="M58" s="335"/>
      <c r="N58" s="162">
        <f t="shared" si="19"/>
        <v>0</v>
      </c>
      <c r="O58" s="162">
        <f t="shared" si="20"/>
        <v>0</v>
      </c>
      <c r="P58" s="4"/>
    </row>
    <row r="59" spans="2:16">
      <c r="B59" s="9" t="str">
        <f t="shared" si="21"/>
        <v/>
      </c>
      <c r="C59" s="157">
        <f>IF(D11="","-",+C58+1)</f>
        <v>2054</v>
      </c>
      <c r="D59" s="163">
        <f>IF(F58+SUM(E$17:E58)=D$10,F58,D$10-SUM(E$17:E58))</f>
        <v>164874.33643637568</v>
      </c>
      <c r="E59" s="164">
        <f>IF(+I14&lt;F58,I14,D59)</f>
        <v>78708.741428571433</v>
      </c>
      <c r="F59" s="163">
        <f t="shared" si="16"/>
        <v>86165.595007804252</v>
      </c>
      <c r="G59" s="165">
        <f t="shared" si="14"/>
        <v>92265.497324130731</v>
      </c>
      <c r="H59" s="147">
        <f t="shared" si="15"/>
        <v>92265.497324130731</v>
      </c>
      <c r="I59" s="160">
        <f t="shared" si="17"/>
        <v>0</v>
      </c>
      <c r="J59" s="160"/>
      <c r="K59" s="335"/>
      <c r="L59" s="162">
        <f t="shared" si="18"/>
        <v>0</v>
      </c>
      <c r="M59" s="335"/>
      <c r="N59" s="162">
        <f t="shared" si="19"/>
        <v>0</v>
      </c>
      <c r="O59" s="162">
        <f t="shared" si="20"/>
        <v>0</v>
      </c>
      <c r="P59" s="4"/>
    </row>
    <row r="60" spans="2:16">
      <c r="B60" s="9" t="str">
        <f t="shared" si="21"/>
        <v/>
      </c>
      <c r="C60" s="157">
        <f>IF(D11="","-",+C59+1)</f>
        <v>2055</v>
      </c>
      <c r="D60" s="163">
        <f>IF(F59+SUM(E$17:E59)=D$10,F59,D$10-SUM(E$17:E59))</f>
        <v>86165.595007804252</v>
      </c>
      <c r="E60" s="164">
        <f>IF(+I14&lt;F59,I14,D60)</f>
        <v>78708.741428571433</v>
      </c>
      <c r="F60" s="163">
        <f t="shared" si="16"/>
        <v>7456.8535792328184</v>
      </c>
      <c r="G60" s="165">
        <f t="shared" si="14"/>
        <v>83764.577265274682</v>
      </c>
      <c r="H60" s="147">
        <f t="shared" si="15"/>
        <v>83764.577265274682</v>
      </c>
      <c r="I60" s="160">
        <f t="shared" si="17"/>
        <v>0</v>
      </c>
      <c r="J60" s="160"/>
      <c r="K60" s="335"/>
      <c r="L60" s="162">
        <f t="shared" si="18"/>
        <v>0</v>
      </c>
      <c r="M60" s="335"/>
      <c r="N60" s="162">
        <f t="shared" si="19"/>
        <v>0</v>
      </c>
      <c r="O60" s="162">
        <f t="shared" si="20"/>
        <v>0</v>
      </c>
      <c r="P60" s="4"/>
    </row>
    <row r="61" spans="2:16">
      <c r="B61" s="9" t="str">
        <f t="shared" si="21"/>
        <v/>
      </c>
      <c r="C61" s="157">
        <f>IF(D11="","-",+C60+1)</f>
        <v>2056</v>
      </c>
      <c r="D61" s="163">
        <f>IF(F60+SUM(E$17:E60)=D$10,F60,D$10-SUM(E$17:E60))</f>
        <v>7456.8535792328184</v>
      </c>
      <c r="E61" s="164">
        <f>IF(+I14&lt;F60,I14,D61)</f>
        <v>7456.8535792328184</v>
      </c>
      <c r="F61" s="163">
        <f t="shared" si="16"/>
        <v>0</v>
      </c>
      <c r="G61" s="165">
        <f t="shared" si="14"/>
        <v>7859.5414828704315</v>
      </c>
      <c r="H61" s="147">
        <f t="shared" si="15"/>
        <v>7859.5414828704315</v>
      </c>
      <c r="I61" s="160">
        <f t="shared" si="17"/>
        <v>0</v>
      </c>
      <c r="J61" s="160"/>
      <c r="K61" s="335"/>
      <c r="L61" s="162">
        <f t="shared" si="18"/>
        <v>0</v>
      </c>
      <c r="M61" s="335"/>
      <c r="N61" s="162">
        <f t="shared" si="19"/>
        <v>0</v>
      </c>
      <c r="O61" s="162">
        <f t="shared" si="20"/>
        <v>0</v>
      </c>
      <c r="P61" s="4"/>
    </row>
    <row r="62" spans="2:16">
      <c r="B62" s="9" t="str">
        <f t="shared" si="21"/>
        <v/>
      </c>
      <c r="C62" s="157">
        <f>IF(D11="","-",+C61+1)</f>
        <v>2057</v>
      </c>
      <c r="D62" s="163">
        <f>IF(F61+SUM(E$17:E61)=D$10,F61,D$10-SUM(E$17:E61))</f>
        <v>0</v>
      </c>
      <c r="E62" s="164">
        <f>IF(+I14&lt;F61,I14,D62)</f>
        <v>0</v>
      </c>
      <c r="F62" s="163">
        <f t="shared" si="16"/>
        <v>0</v>
      </c>
      <c r="G62" s="165">
        <f t="shared" si="14"/>
        <v>0</v>
      </c>
      <c r="H62" s="147">
        <f t="shared" si="15"/>
        <v>0</v>
      </c>
      <c r="I62" s="160">
        <f t="shared" si="17"/>
        <v>0</v>
      </c>
      <c r="J62" s="160"/>
      <c r="K62" s="335"/>
      <c r="L62" s="162">
        <f t="shared" si="18"/>
        <v>0</v>
      </c>
      <c r="M62" s="335"/>
      <c r="N62" s="162">
        <f t="shared" si="19"/>
        <v>0</v>
      </c>
      <c r="O62" s="162">
        <f t="shared" si="20"/>
        <v>0</v>
      </c>
      <c r="P62" s="4"/>
    </row>
    <row r="63" spans="2:16">
      <c r="B63" s="9" t="str">
        <f t="shared" si="21"/>
        <v/>
      </c>
      <c r="C63" s="157">
        <f>IF(D11="","-",+C62+1)</f>
        <v>2058</v>
      </c>
      <c r="D63" s="163">
        <f>IF(F62+SUM(E$17:E62)=D$10,F62,D$10-SUM(E$17:E62))</f>
        <v>0</v>
      </c>
      <c r="E63" s="164">
        <f>IF(+I14&lt;F62,I14,D63)</f>
        <v>0</v>
      </c>
      <c r="F63" s="163">
        <f t="shared" si="16"/>
        <v>0</v>
      </c>
      <c r="G63" s="165">
        <f t="shared" si="14"/>
        <v>0</v>
      </c>
      <c r="H63" s="147">
        <f t="shared" si="15"/>
        <v>0</v>
      </c>
      <c r="I63" s="160">
        <f t="shared" si="17"/>
        <v>0</v>
      </c>
      <c r="J63" s="160"/>
      <c r="K63" s="335"/>
      <c r="L63" s="162">
        <f t="shared" si="18"/>
        <v>0</v>
      </c>
      <c r="M63" s="335"/>
      <c r="N63" s="162">
        <f t="shared" si="19"/>
        <v>0</v>
      </c>
      <c r="O63" s="162">
        <f t="shared" si="20"/>
        <v>0</v>
      </c>
      <c r="P63" s="4"/>
    </row>
    <row r="64" spans="2:16">
      <c r="B64" s="9" t="str">
        <f t="shared" si="21"/>
        <v/>
      </c>
      <c r="C64" s="157">
        <f>IF(D11="","-",+C63+1)</f>
        <v>2059</v>
      </c>
      <c r="D64" s="163">
        <f>IF(F63+SUM(E$17:E63)=D$10,F63,D$10-SUM(E$17:E63))</f>
        <v>0</v>
      </c>
      <c r="E64" s="164">
        <f>IF(+I14&lt;F63,I14,D64)</f>
        <v>0</v>
      </c>
      <c r="F64" s="163">
        <f t="shared" si="16"/>
        <v>0</v>
      </c>
      <c r="G64" s="165">
        <f t="shared" si="14"/>
        <v>0</v>
      </c>
      <c r="H64" s="147">
        <f t="shared" si="15"/>
        <v>0</v>
      </c>
      <c r="I64" s="160">
        <f t="shared" si="17"/>
        <v>0</v>
      </c>
      <c r="J64" s="160"/>
      <c r="K64" s="335"/>
      <c r="L64" s="162">
        <f t="shared" si="18"/>
        <v>0</v>
      </c>
      <c r="M64" s="335"/>
      <c r="N64" s="162">
        <f t="shared" si="19"/>
        <v>0</v>
      </c>
      <c r="O64" s="162">
        <f t="shared" si="20"/>
        <v>0</v>
      </c>
      <c r="P64" s="4"/>
    </row>
    <row r="65" spans="2:16">
      <c r="B65" s="9" t="str">
        <f t="shared" si="21"/>
        <v/>
      </c>
      <c r="C65" s="157">
        <f>IF(D11="","-",+C64+1)</f>
        <v>2060</v>
      </c>
      <c r="D65" s="163">
        <f>IF(F64+SUM(E$17:E64)=D$10,F64,D$10-SUM(E$17:E64))</f>
        <v>0</v>
      </c>
      <c r="E65" s="164">
        <f>IF(+I14&lt;F64,I14,D65)</f>
        <v>0</v>
      </c>
      <c r="F65" s="163">
        <f t="shared" si="16"/>
        <v>0</v>
      </c>
      <c r="G65" s="165">
        <f t="shared" si="14"/>
        <v>0</v>
      </c>
      <c r="H65" s="147">
        <f t="shared" si="15"/>
        <v>0</v>
      </c>
      <c r="I65" s="160">
        <f t="shared" si="17"/>
        <v>0</v>
      </c>
      <c r="J65" s="160"/>
      <c r="K65" s="335"/>
      <c r="L65" s="162">
        <f t="shared" si="18"/>
        <v>0</v>
      </c>
      <c r="M65" s="335"/>
      <c r="N65" s="162">
        <f t="shared" si="19"/>
        <v>0</v>
      </c>
      <c r="O65" s="162">
        <f t="shared" si="20"/>
        <v>0</v>
      </c>
      <c r="P65" s="4"/>
    </row>
    <row r="66" spans="2:16">
      <c r="B66" s="9" t="str">
        <f t="shared" si="21"/>
        <v/>
      </c>
      <c r="C66" s="157">
        <f>IF(D11="","-",+C65+1)</f>
        <v>2061</v>
      </c>
      <c r="D66" s="163">
        <f>IF(F65+SUM(E$17:E65)=D$10,F65,D$10-SUM(E$17:E65))</f>
        <v>0</v>
      </c>
      <c r="E66" s="164">
        <f>IF(+I14&lt;F65,I14,D66)</f>
        <v>0</v>
      </c>
      <c r="F66" s="163">
        <f t="shared" si="16"/>
        <v>0</v>
      </c>
      <c r="G66" s="165">
        <f t="shared" si="14"/>
        <v>0</v>
      </c>
      <c r="H66" s="147">
        <f t="shared" si="15"/>
        <v>0</v>
      </c>
      <c r="I66" s="160">
        <f t="shared" si="17"/>
        <v>0</v>
      </c>
      <c r="J66" s="160"/>
      <c r="K66" s="335"/>
      <c r="L66" s="162">
        <f t="shared" si="18"/>
        <v>0</v>
      </c>
      <c r="M66" s="335"/>
      <c r="N66" s="162">
        <f t="shared" si="19"/>
        <v>0</v>
      </c>
      <c r="O66" s="162">
        <f t="shared" si="20"/>
        <v>0</v>
      </c>
      <c r="P66" s="4"/>
    </row>
    <row r="67" spans="2:16">
      <c r="B67" s="9" t="str">
        <f t="shared" si="21"/>
        <v/>
      </c>
      <c r="C67" s="157">
        <f>IF(D11="","-",+C66+1)</f>
        <v>2062</v>
      </c>
      <c r="D67" s="163">
        <f>IF(F66+SUM(E$17:E66)=D$10,F66,D$10-SUM(E$17:E66))</f>
        <v>0</v>
      </c>
      <c r="E67" s="164">
        <f>IF(+I14&lt;F66,I14,D67)</f>
        <v>0</v>
      </c>
      <c r="F67" s="163">
        <f t="shared" si="16"/>
        <v>0</v>
      </c>
      <c r="G67" s="165">
        <f t="shared" si="14"/>
        <v>0</v>
      </c>
      <c r="H67" s="147">
        <f t="shared" si="15"/>
        <v>0</v>
      </c>
      <c r="I67" s="160">
        <f t="shared" si="17"/>
        <v>0</v>
      </c>
      <c r="J67" s="160"/>
      <c r="K67" s="335"/>
      <c r="L67" s="162">
        <f t="shared" si="18"/>
        <v>0</v>
      </c>
      <c r="M67" s="335"/>
      <c r="N67" s="162">
        <f t="shared" si="19"/>
        <v>0</v>
      </c>
      <c r="O67" s="162">
        <f t="shared" si="20"/>
        <v>0</v>
      </c>
      <c r="P67" s="4"/>
    </row>
    <row r="68" spans="2:16">
      <c r="B68" s="9" t="str">
        <f t="shared" si="21"/>
        <v/>
      </c>
      <c r="C68" s="157">
        <f>IF(D11="","-",+C67+1)</f>
        <v>2063</v>
      </c>
      <c r="D68" s="163">
        <f>IF(F67+SUM(E$17:E67)=D$10,F67,D$10-SUM(E$17:E67))</f>
        <v>0</v>
      </c>
      <c r="E68" s="164">
        <f>IF(+I14&lt;F67,I14,D68)</f>
        <v>0</v>
      </c>
      <c r="F68" s="163">
        <f t="shared" si="16"/>
        <v>0</v>
      </c>
      <c r="G68" s="165">
        <f t="shared" si="14"/>
        <v>0</v>
      </c>
      <c r="H68" s="147">
        <f t="shared" si="15"/>
        <v>0</v>
      </c>
      <c r="I68" s="160">
        <f t="shared" si="17"/>
        <v>0</v>
      </c>
      <c r="J68" s="160"/>
      <c r="K68" s="335"/>
      <c r="L68" s="162">
        <f t="shared" si="18"/>
        <v>0</v>
      </c>
      <c r="M68" s="335"/>
      <c r="N68" s="162">
        <f t="shared" si="19"/>
        <v>0</v>
      </c>
      <c r="O68" s="162">
        <f t="shared" si="20"/>
        <v>0</v>
      </c>
      <c r="P68" s="4"/>
    </row>
    <row r="69" spans="2:16">
      <c r="B69" s="9" t="str">
        <f t="shared" si="21"/>
        <v/>
      </c>
      <c r="C69" s="157">
        <f>IF(D11="","-",+C68+1)</f>
        <v>2064</v>
      </c>
      <c r="D69" s="163">
        <f>IF(F68+SUM(E$17:E68)=D$10,F68,D$10-SUM(E$17:E68))</f>
        <v>0</v>
      </c>
      <c r="E69" s="164">
        <f>IF(+I14&lt;F68,I14,D69)</f>
        <v>0</v>
      </c>
      <c r="F69" s="163">
        <f t="shared" si="16"/>
        <v>0</v>
      </c>
      <c r="G69" s="165">
        <f t="shared" si="14"/>
        <v>0</v>
      </c>
      <c r="H69" s="147">
        <f t="shared" si="15"/>
        <v>0</v>
      </c>
      <c r="I69" s="160">
        <f t="shared" si="17"/>
        <v>0</v>
      </c>
      <c r="J69" s="160"/>
      <c r="K69" s="335"/>
      <c r="L69" s="162">
        <f t="shared" si="18"/>
        <v>0</v>
      </c>
      <c r="M69" s="335"/>
      <c r="N69" s="162">
        <f t="shared" si="19"/>
        <v>0</v>
      </c>
      <c r="O69" s="162">
        <f t="shared" si="20"/>
        <v>0</v>
      </c>
      <c r="P69" s="4"/>
    </row>
    <row r="70" spans="2:16">
      <c r="B70" s="9" t="str">
        <f t="shared" si="21"/>
        <v/>
      </c>
      <c r="C70" s="157">
        <f>IF(D11="","-",+C69+1)</f>
        <v>2065</v>
      </c>
      <c r="D70" s="163">
        <f>IF(F69+SUM(E$17:E69)=D$10,F69,D$10-SUM(E$17:E69))</f>
        <v>0</v>
      </c>
      <c r="E70" s="164">
        <f>IF(+I14&lt;F69,I14,D70)</f>
        <v>0</v>
      </c>
      <c r="F70" s="163">
        <f t="shared" si="16"/>
        <v>0</v>
      </c>
      <c r="G70" s="165">
        <f t="shared" si="14"/>
        <v>0</v>
      </c>
      <c r="H70" s="147">
        <f t="shared" si="15"/>
        <v>0</v>
      </c>
      <c r="I70" s="160">
        <f t="shared" si="17"/>
        <v>0</v>
      </c>
      <c r="J70" s="160"/>
      <c r="K70" s="335"/>
      <c r="L70" s="162">
        <f t="shared" si="18"/>
        <v>0</v>
      </c>
      <c r="M70" s="335"/>
      <c r="N70" s="162">
        <f t="shared" si="19"/>
        <v>0</v>
      </c>
      <c r="O70" s="162">
        <f t="shared" si="20"/>
        <v>0</v>
      </c>
      <c r="P70" s="4"/>
    </row>
    <row r="71" spans="2:16">
      <c r="B71" s="9" t="str">
        <f t="shared" si="21"/>
        <v/>
      </c>
      <c r="C71" s="157">
        <f>IF(D11="","-",+C70+1)</f>
        <v>2066</v>
      </c>
      <c r="D71" s="163">
        <f>IF(F70+SUM(E$17:E70)=D$10,F70,D$10-SUM(E$17:E70))</f>
        <v>0</v>
      </c>
      <c r="E71" s="164">
        <f>IF(+I14&lt;F70,I14,D71)</f>
        <v>0</v>
      </c>
      <c r="F71" s="163">
        <f t="shared" si="16"/>
        <v>0</v>
      </c>
      <c r="G71" s="165">
        <f t="shared" si="14"/>
        <v>0</v>
      </c>
      <c r="H71" s="147">
        <f t="shared" si="15"/>
        <v>0</v>
      </c>
      <c r="I71" s="160">
        <f t="shared" si="17"/>
        <v>0</v>
      </c>
      <c r="J71" s="160"/>
      <c r="K71" s="335"/>
      <c r="L71" s="162">
        <f t="shared" si="18"/>
        <v>0</v>
      </c>
      <c r="M71" s="335"/>
      <c r="N71" s="162">
        <f t="shared" si="19"/>
        <v>0</v>
      </c>
      <c r="O71" s="162">
        <f t="shared" si="20"/>
        <v>0</v>
      </c>
      <c r="P71" s="4"/>
    </row>
    <row r="72" spans="2:16" ht="13.5" thickBot="1">
      <c r="B72" s="9" t="str">
        <f t="shared" si="21"/>
        <v/>
      </c>
      <c r="C72" s="168">
        <f>IF(D11="","-",+C71+1)</f>
        <v>2067</v>
      </c>
      <c r="D72" s="169">
        <f>IF(F71+SUM(E$17:E71)=D$10,F71,D$10-SUM(E$17:E71))</f>
        <v>0</v>
      </c>
      <c r="E72" s="170">
        <f>IF(+I14&lt;F71,I14,D72)</f>
        <v>0</v>
      </c>
      <c r="F72" s="169">
        <f t="shared" si="16"/>
        <v>0</v>
      </c>
      <c r="G72" s="169">
        <f t="shared" si="14"/>
        <v>0</v>
      </c>
      <c r="H72" s="169">
        <f t="shared" si="15"/>
        <v>0</v>
      </c>
      <c r="I72" s="172">
        <f t="shared" si="17"/>
        <v>0</v>
      </c>
      <c r="J72" s="160"/>
      <c r="K72" s="336"/>
      <c r="L72" s="173">
        <f t="shared" si="18"/>
        <v>0</v>
      </c>
      <c r="M72" s="336"/>
      <c r="N72" s="173">
        <f t="shared" si="19"/>
        <v>0</v>
      </c>
      <c r="O72" s="173">
        <f t="shared" si="20"/>
        <v>0</v>
      </c>
      <c r="P72" s="4"/>
    </row>
    <row r="73" spans="2:16">
      <c r="C73" s="158" t="s">
        <v>72</v>
      </c>
      <c r="D73" s="115"/>
      <c r="E73" s="115">
        <f>SUM(E17:E72)</f>
        <v>3305767.1399999992</v>
      </c>
      <c r="F73" s="115"/>
      <c r="G73" s="115">
        <f>SUM(G17:G72)</f>
        <v>11806578.011532182</v>
      </c>
      <c r="H73" s="115">
        <f>SUM(H17:H72)</f>
        <v>11806578.011532182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12 of 28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2018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467887.49199999997</v>
      </c>
      <c r="N87" s="202">
        <f>IF(J92&lt;D11,0,VLOOKUP(J92,C17:O72,11))</f>
        <v>467887.49199999997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378148.93401168124</v>
      </c>
      <c r="N88" s="204">
        <f>IF(J92&lt;D11,0,VLOOKUP(J92,C99:P154,7))</f>
        <v>378148.93401168124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Canadian River - McAlester City 138 kV Line Conversion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-89738.557988318731</v>
      </c>
      <c r="N89" s="207">
        <f>+N88-N87</f>
        <v>-89738.557988318731</v>
      </c>
      <c r="O89" s="208">
        <f>+O88-O87</f>
        <v>0</v>
      </c>
      <c r="P89" s="1"/>
    </row>
    <row r="90" spans="1:16" ht="13.5" thickBot="1">
      <c r="C90" s="174"/>
      <c r="D90" s="177" t="str">
        <f>D8</f>
        <v/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 t="str">
        <f>+D9</f>
        <v>TP2009095-PSO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138">
        <f>+D10</f>
        <v>3305767.14</v>
      </c>
      <c r="E92" s="22" t="s">
        <v>89</v>
      </c>
      <c r="H92" s="139"/>
      <c r="I92" s="139"/>
      <c r="J92" s="140">
        <f>+'PSO.WS.G.BPU.ATRR.True-up'!M16</f>
        <v>2018</v>
      </c>
      <c r="K92" s="136"/>
      <c r="L92" s="115" t="s">
        <v>90</v>
      </c>
      <c r="P92" s="4"/>
    </row>
    <row r="93" spans="1:16">
      <c r="C93" s="141" t="s">
        <v>48</v>
      </c>
      <c r="D93" s="223">
        <v>2012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v>10</v>
      </c>
      <c r="E94" s="141" t="s">
        <v>51</v>
      </c>
      <c r="F94" s="139"/>
      <c r="G94" s="139"/>
      <c r="J94" s="145">
        <f>'PSO.WS.G.BPU.ATRR.True-up'!$F$81</f>
        <v>0.10273556682691798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43</v>
      </c>
      <c r="E95" s="141" t="s">
        <v>54</v>
      </c>
      <c r="F95" s="139"/>
      <c r="G95" s="139"/>
      <c r="J95" s="145">
        <f>IF(H87="",J94,'PSO.WS.G.BPU.ATRR.True-up'!$F$80)</f>
        <v>0.10273556682691798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76878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277</v>
      </c>
      <c r="I97" s="339" t="s">
        <v>278</v>
      </c>
      <c r="J97" s="214" t="s">
        <v>93</v>
      </c>
      <c r="K97" s="216"/>
      <c r="L97" s="151" t="s">
        <v>97</v>
      </c>
      <c r="M97" s="151" t="s">
        <v>94</v>
      </c>
      <c r="N97" s="151" t="s">
        <v>97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41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2012</v>
      </c>
      <c r="D99" s="419">
        <f>IF(D93=C99,0,D92)</f>
        <v>0</v>
      </c>
      <c r="E99" s="420">
        <v>1616</v>
      </c>
      <c r="F99" s="421">
        <v>502209</v>
      </c>
      <c r="G99" s="426">
        <v>251209</v>
      </c>
      <c r="H99" s="422">
        <v>37753</v>
      </c>
      <c r="I99" s="423">
        <v>37753</v>
      </c>
      <c r="J99" s="162">
        <f t="shared" ref="J99:J130" si="22">+I99-H99</f>
        <v>0</v>
      </c>
      <c r="K99" s="433"/>
      <c r="L99" s="384">
        <f t="shared" ref="L99:L104" si="23">H99</f>
        <v>37753</v>
      </c>
      <c r="M99" s="434">
        <f t="shared" ref="M99:M104" si="24">IF(L99&lt;&gt;0,+H99-L99,0)</f>
        <v>0</v>
      </c>
      <c r="N99" s="384">
        <f t="shared" ref="N99:N104" si="25">I99</f>
        <v>37753</v>
      </c>
      <c r="O99" s="175">
        <f t="shared" ref="O99:O104" si="26">IF(N99&lt;&gt;0,+I99-N99,0)</f>
        <v>0</v>
      </c>
      <c r="P99" s="161">
        <f t="shared" ref="P99:P104" si="27">+O99-M99</f>
        <v>0</v>
      </c>
    </row>
    <row r="100" spans="1:16">
      <c r="B100" s="9" t="str">
        <f t="shared" ref="B100:B131" si="28">IF(D100=F99,"","IU")</f>
        <v>IU</v>
      </c>
      <c r="C100" s="157">
        <f>IF(D93="","-",+C99+1)</f>
        <v>2013</v>
      </c>
      <c r="D100" s="435">
        <v>3240518</v>
      </c>
      <c r="E100" s="436">
        <v>62349</v>
      </c>
      <c r="F100" s="437">
        <v>3178169</v>
      </c>
      <c r="G100" s="437">
        <v>3209343.5</v>
      </c>
      <c r="H100" s="436">
        <v>524300.60020262119</v>
      </c>
      <c r="I100" s="438">
        <v>524300.60020262119</v>
      </c>
      <c r="J100" s="162">
        <v>0</v>
      </c>
      <c r="K100" s="433"/>
      <c r="L100" s="380">
        <f t="shared" si="23"/>
        <v>524300.60020262119</v>
      </c>
      <c r="M100" s="434">
        <f t="shared" si="24"/>
        <v>0</v>
      </c>
      <c r="N100" s="380">
        <f t="shared" si="25"/>
        <v>524300.60020262119</v>
      </c>
      <c r="O100" s="175">
        <f t="shared" si="26"/>
        <v>0</v>
      </c>
      <c r="P100" s="162">
        <f t="shared" si="27"/>
        <v>0</v>
      </c>
    </row>
    <row r="101" spans="1:16">
      <c r="B101" s="9" t="str">
        <f t="shared" si="28"/>
        <v>IU</v>
      </c>
      <c r="C101" s="157">
        <f>IF(D93="","-",+C100+1)</f>
        <v>2014</v>
      </c>
      <c r="D101" s="435">
        <v>3241802.14</v>
      </c>
      <c r="E101" s="436">
        <v>63572</v>
      </c>
      <c r="F101" s="437">
        <v>3178230.14</v>
      </c>
      <c r="G101" s="437">
        <v>3210016.14</v>
      </c>
      <c r="H101" s="436">
        <v>514887.14751698606</v>
      </c>
      <c r="I101" s="438">
        <v>514887.14751698606</v>
      </c>
      <c r="J101" s="162">
        <v>0</v>
      </c>
      <c r="K101" s="433"/>
      <c r="L101" s="380">
        <f t="shared" si="23"/>
        <v>514887.14751698606</v>
      </c>
      <c r="M101" s="434">
        <f t="shared" si="24"/>
        <v>0</v>
      </c>
      <c r="N101" s="380">
        <f t="shared" si="25"/>
        <v>514887.14751698606</v>
      </c>
      <c r="O101" s="175">
        <f t="shared" si="26"/>
        <v>0</v>
      </c>
      <c r="P101" s="162">
        <f t="shared" si="27"/>
        <v>0</v>
      </c>
    </row>
    <row r="102" spans="1:16">
      <c r="B102" s="9" t="str">
        <f t="shared" si="28"/>
        <v/>
      </c>
      <c r="C102" s="157">
        <f>IF(D93="","-",+C101+1)</f>
        <v>2015</v>
      </c>
      <c r="D102" s="435">
        <v>3178230.14</v>
      </c>
      <c r="E102" s="436">
        <v>63572</v>
      </c>
      <c r="F102" s="437">
        <v>3114658.14</v>
      </c>
      <c r="G102" s="437">
        <v>3146444.14</v>
      </c>
      <c r="H102" s="436">
        <v>492879.0042454137</v>
      </c>
      <c r="I102" s="438">
        <v>492879.0042454137</v>
      </c>
      <c r="J102" s="162">
        <f t="shared" si="22"/>
        <v>0</v>
      </c>
      <c r="K102" s="162"/>
      <c r="L102" s="380">
        <f t="shared" si="23"/>
        <v>492879.0042454137</v>
      </c>
      <c r="M102" s="434">
        <f t="shared" si="24"/>
        <v>0</v>
      </c>
      <c r="N102" s="380">
        <f t="shared" si="25"/>
        <v>492879.0042454137</v>
      </c>
      <c r="O102" s="175">
        <f t="shared" si="26"/>
        <v>0</v>
      </c>
      <c r="P102" s="162">
        <f t="shared" si="27"/>
        <v>0</v>
      </c>
    </row>
    <row r="103" spans="1:16">
      <c r="B103" s="9" t="str">
        <f t="shared" si="28"/>
        <v/>
      </c>
      <c r="C103" s="157">
        <f>IF(D93="","-",+C102+1)</f>
        <v>2016</v>
      </c>
      <c r="D103" s="435">
        <v>3114658.14</v>
      </c>
      <c r="E103" s="436">
        <v>71865</v>
      </c>
      <c r="F103" s="437">
        <v>3042793.14</v>
      </c>
      <c r="G103" s="437">
        <v>3078725.64</v>
      </c>
      <c r="H103" s="436">
        <v>468761.221459263</v>
      </c>
      <c r="I103" s="438">
        <v>468761.221459263</v>
      </c>
      <c r="J103" s="162">
        <v>0</v>
      </c>
      <c r="K103" s="162"/>
      <c r="L103" s="380">
        <f t="shared" si="23"/>
        <v>468761.221459263</v>
      </c>
      <c r="M103" s="434">
        <f t="shared" si="24"/>
        <v>0</v>
      </c>
      <c r="N103" s="380">
        <f t="shared" si="25"/>
        <v>468761.221459263</v>
      </c>
      <c r="O103" s="175">
        <f t="shared" si="26"/>
        <v>0</v>
      </c>
      <c r="P103" s="162">
        <f t="shared" si="27"/>
        <v>0</v>
      </c>
    </row>
    <row r="104" spans="1:16">
      <c r="B104" s="9" t="str">
        <f t="shared" si="28"/>
        <v/>
      </c>
      <c r="C104" s="157">
        <f>IF(D93="","-",+C103+1)</f>
        <v>2017</v>
      </c>
      <c r="D104" s="435">
        <v>3042793.14</v>
      </c>
      <c r="E104" s="436">
        <v>71865</v>
      </c>
      <c r="F104" s="437">
        <v>2970928.14</v>
      </c>
      <c r="G104" s="437">
        <v>3006860.64</v>
      </c>
      <c r="H104" s="436">
        <v>453292.85398579738</v>
      </c>
      <c r="I104" s="438">
        <v>453292.85398579738</v>
      </c>
      <c r="J104" s="162">
        <f t="shared" si="22"/>
        <v>0</v>
      </c>
      <c r="K104" s="162"/>
      <c r="L104" s="380">
        <f t="shared" si="23"/>
        <v>453292.85398579738</v>
      </c>
      <c r="M104" s="434">
        <f t="shared" si="24"/>
        <v>0</v>
      </c>
      <c r="N104" s="380">
        <f t="shared" si="25"/>
        <v>453292.85398579738</v>
      </c>
      <c r="O104" s="175">
        <f t="shared" si="26"/>
        <v>0</v>
      </c>
      <c r="P104" s="162">
        <f t="shared" si="27"/>
        <v>0</v>
      </c>
    </row>
    <row r="105" spans="1:16">
      <c r="B105" s="9" t="str">
        <f t="shared" si="28"/>
        <v/>
      </c>
      <c r="C105" s="157">
        <f>IF(D93="","-",+C104+1)</f>
        <v>2018</v>
      </c>
      <c r="D105" s="158">
        <f>IF(F104+SUM(E$99:E104)=D$92,F104,D$92-SUM(E$99:E104))</f>
        <v>2970928.14</v>
      </c>
      <c r="E105" s="164">
        <f t="shared" ref="E105:E154" si="29">IF(+J$96&lt;F104,J$96,D105)</f>
        <v>76878</v>
      </c>
      <c r="F105" s="163">
        <f t="shared" ref="F105:F154" si="30">+D105-E105</f>
        <v>2894050.14</v>
      </c>
      <c r="G105" s="163">
        <f t="shared" ref="G105:G154" si="31">+(F105+D105)/2</f>
        <v>2932489.14</v>
      </c>
      <c r="H105" s="167">
        <f t="shared" ref="H105:H130" si="32">+J$94*G105+E105</f>
        <v>378148.93401168124</v>
      </c>
      <c r="I105" s="317">
        <f t="shared" ref="I105:I130" si="33">+J$95*G105+E105</f>
        <v>378148.93401168124</v>
      </c>
      <c r="J105" s="162">
        <f t="shared" si="22"/>
        <v>0</v>
      </c>
      <c r="K105" s="162"/>
      <c r="L105" s="335"/>
      <c r="M105" s="162">
        <f t="shared" ref="M105:M130" si="34">IF(L105&lt;&gt;0,+H105-L105,0)</f>
        <v>0</v>
      </c>
      <c r="N105" s="335"/>
      <c r="O105" s="162">
        <f t="shared" ref="O105:O130" si="35">IF(N105&lt;&gt;0,+I105-N105,0)</f>
        <v>0</v>
      </c>
      <c r="P105" s="162">
        <f t="shared" ref="P105:P130" si="36">+O105-M105</f>
        <v>0</v>
      </c>
    </row>
    <row r="106" spans="1:16">
      <c r="B106" s="9" t="str">
        <f t="shared" si="28"/>
        <v/>
      </c>
      <c r="C106" s="157">
        <f>IF(D93="","-",+C105+1)</f>
        <v>2019</v>
      </c>
      <c r="D106" s="158">
        <f>IF(F105+SUM(E$99:E105)=D$92,F105,D$92-SUM(E$99:E105))</f>
        <v>2894050.14</v>
      </c>
      <c r="E106" s="164">
        <f t="shared" si="29"/>
        <v>76878</v>
      </c>
      <c r="F106" s="163">
        <f t="shared" si="30"/>
        <v>2817172.14</v>
      </c>
      <c r="G106" s="163">
        <f t="shared" si="31"/>
        <v>2855611.14</v>
      </c>
      <c r="H106" s="167">
        <f t="shared" si="32"/>
        <v>370250.82910516142</v>
      </c>
      <c r="I106" s="317">
        <f t="shared" si="33"/>
        <v>370250.82910516142</v>
      </c>
      <c r="J106" s="162">
        <f t="shared" si="22"/>
        <v>0</v>
      </c>
      <c r="K106" s="162"/>
      <c r="L106" s="335"/>
      <c r="M106" s="162">
        <f t="shared" si="34"/>
        <v>0</v>
      </c>
      <c r="N106" s="335"/>
      <c r="O106" s="162">
        <f t="shared" si="35"/>
        <v>0</v>
      </c>
      <c r="P106" s="162">
        <f t="shared" si="36"/>
        <v>0</v>
      </c>
    </row>
    <row r="107" spans="1:16">
      <c r="B107" s="9" t="str">
        <f t="shared" si="28"/>
        <v/>
      </c>
      <c r="C107" s="157">
        <f>IF(D93="","-",+C106+1)</f>
        <v>2020</v>
      </c>
      <c r="D107" s="158">
        <f>IF(F106+SUM(E$99:E106)=D$92,F106,D$92-SUM(E$99:E106))</f>
        <v>2817172.14</v>
      </c>
      <c r="E107" s="165">
        <f t="shared" si="29"/>
        <v>76878</v>
      </c>
      <c r="F107" s="163">
        <f t="shared" si="30"/>
        <v>2740294.14</v>
      </c>
      <c r="G107" s="163">
        <f t="shared" si="31"/>
        <v>2778733.14</v>
      </c>
      <c r="H107" s="167">
        <f t="shared" si="32"/>
        <v>362352.72419864166</v>
      </c>
      <c r="I107" s="317">
        <f t="shared" si="33"/>
        <v>362352.72419864166</v>
      </c>
      <c r="J107" s="162">
        <f t="shared" si="22"/>
        <v>0</v>
      </c>
      <c r="K107" s="162"/>
      <c r="L107" s="335"/>
      <c r="M107" s="162">
        <f t="shared" si="34"/>
        <v>0</v>
      </c>
      <c r="N107" s="335"/>
      <c r="O107" s="162">
        <f t="shared" si="35"/>
        <v>0</v>
      </c>
      <c r="P107" s="162">
        <f t="shared" si="36"/>
        <v>0</v>
      </c>
    </row>
    <row r="108" spans="1:16">
      <c r="B108" s="9" t="str">
        <f t="shared" si="28"/>
        <v/>
      </c>
      <c r="C108" s="157">
        <f>IF(D93="","-",+C107+1)</f>
        <v>2021</v>
      </c>
      <c r="D108" s="158">
        <f>IF(F107+SUM(E$99:E107)=D$92,F107,D$92-SUM(E$99:E107))</f>
        <v>2740294.14</v>
      </c>
      <c r="E108" s="165">
        <f t="shared" si="29"/>
        <v>76878</v>
      </c>
      <c r="F108" s="163">
        <f t="shared" si="30"/>
        <v>2663416.14</v>
      </c>
      <c r="G108" s="163">
        <f t="shared" si="31"/>
        <v>2701855.14</v>
      </c>
      <c r="H108" s="167">
        <f t="shared" si="32"/>
        <v>354454.61929212185</v>
      </c>
      <c r="I108" s="317">
        <f t="shared" si="33"/>
        <v>354454.61929212185</v>
      </c>
      <c r="J108" s="162">
        <f t="shared" si="22"/>
        <v>0</v>
      </c>
      <c r="K108" s="162"/>
      <c r="L108" s="335"/>
      <c r="M108" s="162">
        <f t="shared" si="34"/>
        <v>0</v>
      </c>
      <c r="N108" s="335"/>
      <c r="O108" s="162">
        <f t="shared" si="35"/>
        <v>0</v>
      </c>
      <c r="P108" s="162">
        <f t="shared" si="36"/>
        <v>0</v>
      </c>
    </row>
    <row r="109" spans="1:16">
      <c r="B109" s="9" t="str">
        <f t="shared" si="28"/>
        <v/>
      </c>
      <c r="C109" s="157">
        <f>IF(D93="","-",+C108+1)</f>
        <v>2022</v>
      </c>
      <c r="D109" s="158">
        <f>IF(F108+SUM(E$99:E108)=D$92,F108,D$92-SUM(E$99:E108))</f>
        <v>2663416.14</v>
      </c>
      <c r="E109" s="165">
        <f t="shared" si="29"/>
        <v>76878</v>
      </c>
      <c r="F109" s="163">
        <f t="shared" si="30"/>
        <v>2586538.14</v>
      </c>
      <c r="G109" s="163">
        <f t="shared" si="31"/>
        <v>2624977.14</v>
      </c>
      <c r="H109" s="167">
        <f t="shared" si="32"/>
        <v>346556.51438560203</v>
      </c>
      <c r="I109" s="317">
        <f t="shared" si="33"/>
        <v>346556.51438560203</v>
      </c>
      <c r="J109" s="162">
        <f t="shared" si="22"/>
        <v>0</v>
      </c>
      <c r="K109" s="162"/>
      <c r="L109" s="335"/>
      <c r="M109" s="162">
        <f t="shared" si="34"/>
        <v>0</v>
      </c>
      <c r="N109" s="335"/>
      <c r="O109" s="162">
        <f t="shared" si="35"/>
        <v>0</v>
      </c>
      <c r="P109" s="162">
        <f t="shared" si="36"/>
        <v>0</v>
      </c>
    </row>
    <row r="110" spans="1:16">
      <c r="B110" s="9" t="str">
        <f t="shared" si="28"/>
        <v/>
      </c>
      <c r="C110" s="157">
        <f>IF(D93="","-",+C109+1)</f>
        <v>2023</v>
      </c>
      <c r="D110" s="158">
        <f>IF(F109+SUM(E$99:E109)=D$92,F109,D$92-SUM(E$99:E109))</f>
        <v>2586538.14</v>
      </c>
      <c r="E110" s="165">
        <f t="shared" si="29"/>
        <v>76878</v>
      </c>
      <c r="F110" s="163">
        <f t="shared" si="30"/>
        <v>2509660.14</v>
      </c>
      <c r="G110" s="163">
        <f t="shared" si="31"/>
        <v>2548099.14</v>
      </c>
      <c r="H110" s="167">
        <f t="shared" si="32"/>
        <v>338658.40947908221</v>
      </c>
      <c r="I110" s="317">
        <f t="shared" si="33"/>
        <v>338658.40947908221</v>
      </c>
      <c r="J110" s="162">
        <f t="shared" si="22"/>
        <v>0</v>
      </c>
      <c r="K110" s="162"/>
      <c r="L110" s="335"/>
      <c r="M110" s="162">
        <f t="shared" si="34"/>
        <v>0</v>
      </c>
      <c r="N110" s="335"/>
      <c r="O110" s="162">
        <f t="shared" si="35"/>
        <v>0</v>
      </c>
      <c r="P110" s="162">
        <f t="shared" si="36"/>
        <v>0</v>
      </c>
    </row>
    <row r="111" spans="1:16">
      <c r="B111" s="9" t="str">
        <f t="shared" si="28"/>
        <v/>
      </c>
      <c r="C111" s="157">
        <f>IF(D93="","-",+C110+1)</f>
        <v>2024</v>
      </c>
      <c r="D111" s="158">
        <f>IF(F110+SUM(E$99:E110)=D$92,F110,D$92-SUM(E$99:E110))</f>
        <v>2509660.14</v>
      </c>
      <c r="E111" s="165">
        <f t="shared" si="29"/>
        <v>76878</v>
      </c>
      <c r="F111" s="163">
        <f t="shared" si="30"/>
        <v>2432782.14</v>
      </c>
      <c r="G111" s="163">
        <f t="shared" si="31"/>
        <v>2471221.14</v>
      </c>
      <c r="H111" s="167">
        <f t="shared" si="32"/>
        <v>330760.30457256245</v>
      </c>
      <c r="I111" s="317">
        <f t="shared" si="33"/>
        <v>330760.30457256245</v>
      </c>
      <c r="J111" s="162">
        <f t="shared" si="22"/>
        <v>0</v>
      </c>
      <c r="K111" s="162"/>
      <c r="L111" s="335"/>
      <c r="M111" s="162">
        <f t="shared" si="34"/>
        <v>0</v>
      </c>
      <c r="N111" s="335"/>
      <c r="O111" s="162">
        <f t="shared" si="35"/>
        <v>0</v>
      </c>
      <c r="P111" s="162">
        <f t="shared" si="36"/>
        <v>0</v>
      </c>
    </row>
    <row r="112" spans="1:16">
      <c r="B112" s="9" t="str">
        <f t="shared" si="28"/>
        <v/>
      </c>
      <c r="C112" s="157">
        <f>IF(D93="","-",+C111+1)</f>
        <v>2025</v>
      </c>
      <c r="D112" s="158">
        <f>IF(F111+SUM(E$99:E111)=D$92,F111,D$92-SUM(E$99:E111))</f>
        <v>2432782.14</v>
      </c>
      <c r="E112" s="165">
        <f t="shared" si="29"/>
        <v>76878</v>
      </c>
      <c r="F112" s="163">
        <f t="shared" si="30"/>
        <v>2355904.14</v>
      </c>
      <c r="G112" s="163">
        <f t="shared" si="31"/>
        <v>2394343.14</v>
      </c>
      <c r="H112" s="167">
        <f t="shared" si="32"/>
        <v>322862.19966604264</v>
      </c>
      <c r="I112" s="317">
        <f t="shared" si="33"/>
        <v>322862.19966604264</v>
      </c>
      <c r="J112" s="162">
        <f t="shared" si="22"/>
        <v>0</v>
      </c>
      <c r="K112" s="162"/>
      <c r="L112" s="335"/>
      <c r="M112" s="162">
        <f t="shared" si="34"/>
        <v>0</v>
      </c>
      <c r="N112" s="335"/>
      <c r="O112" s="162">
        <f t="shared" si="35"/>
        <v>0</v>
      </c>
      <c r="P112" s="162">
        <f t="shared" si="36"/>
        <v>0</v>
      </c>
    </row>
    <row r="113" spans="2:16">
      <c r="B113" s="9" t="str">
        <f t="shared" si="28"/>
        <v/>
      </c>
      <c r="C113" s="157">
        <f>IF(D93="","-",+C112+1)</f>
        <v>2026</v>
      </c>
      <c r="D113" s="158">
        <f>IF(F112+SUM(E$99:E112)=D$92,F112,D$92-SUM(E$99:E112))</f>
        <v>2355904.14</v>
      </c>
      <c r="E113" s="165">
        <f t="shared" si="29"/>
        <v>76878</v>
      </c>
      <c r="F113" s="163">
        <f t="shared" si="30"/>
        <v>2279026.14</v>
      </c>
      <c r="G113" s="163">
        <f t="shared" si="31"/>
        <v>2317465.14</v>
      </c>
      <c r="H113" s="167">
        <f t="shared" si="32"/>
        <v>314964.09475952282</v>
      </c>
      <c r="I113" s="317">
        <f t="shared" si="33"/>
        <v>314964.09475952282</v>
      </c>
      <c r="J113" s="162">
        <f t="shared" si="22"/>
        <v>0</v>
      </c>
      <c r="K113" s="162"/>
      <c r="L113" s="335"/>
      <c r="M113" s="162">
        <f t="shared" si="34"/>
        <v>0</v>
      </c>
      <c r="N113" s="335"/>
      <c r="O113" s="162">
        <f t="shared" si="35"/>
        <v>0</v>
      </c>
      <c r="P113" s="162">
        <f t="shared" si="36"/>
        <v>0</v>
      </c>
    </row>
    <row r="114" spans="2:16">
      <c r="B114" s="9" t="str">
        <f t="shared" si="28"/>
        <v/>
      </c>
      <c r="C114" s="157">
        <f>IF(D93="","-",+C113+1)</f>
        <v>2027</v>
      </c>
      <c r="D114" s="158">
        <f>IF(F113+SUM(E$99:E113)=D$92,F113,D$92-SUM(E$99:E113))</f>
        <v>2279026.14</v>
      </c>
      <c r="E114" s="165">
        <f t="shared" si="29"/>
        <v>76878</v>
      </c>
      <c r="F114" s="163">
        <f t="shared" si="30"/>
        <v>2202148.14</v>
      </c>
      <c r="G114" s="163">
        <f t="shared" si="31"/>
        <v>2240587.14</v>
      </c>
      <c r="H114" s="167">
        <f t="shared" si="32"/>
        <v>307065.98985300306</v>
      </c>
      <c r="I114" s="317">
        <f t="shared" si="33"/>
        <v>307065.98985300306</v>
      </c>
      <c r="J114" s="162">
        <f t="shared" si="22"/>
        <v>0</v>
      </c>
      <c r="K114" s="162"/>
      <c r="L114" s="335"/>
      <c r="M114" s="162">
        <f t="shared" si="34"/>
        <v>0</v>
      </c>
      <c r="N114" s="335"/>
      <c r="O114" s="162">
        <f t="shared" si="35"/>
        <v>0</v>
      </c>
      <c r="P114" s="162">
        <f t="shared" si="36"/>
        <v>0</v>
      </c>
    </row>
    <row r="115" spans="2:16">
      <c r="B115" s="9" t="str">
        <f t="shared" si="28"/>
        <v/>
      </c>
      <c r="C115" s="157">
        <f>IF(D93="","-",+C114+1)</f>
        <v>2028</v>
      </c>
      <c r="D115" s="158">
        <f>IF(F114+SUM(E$99:E114)=D$92,F114,D$92-SUM(E$99:E114))</f>
        <v>2202148.14</v>
      </c>
      <c r="E115" s="165">
        <f t="shared" si="29"/>
        <v>76878</v>
      </c>
      <c r="F115" s="163">
        <f t="shared" si="30"/>
        <v>2125270.14</v>
      </c>
      <c r="G115" s="163">
        <f t="shared" si="31"/>
        <v>2163709.14</v>
      </c>
      <c r="H115" s="167">
        <f t="shared" si="32"/>
        <v>299167.88494648325</v>
      </c>
      <c r="I115" s="317">
        <f t="shared" si="33"/>
        <v>299167.88494648325</v>
      </c>
      <c r="J115" s="162">
        <f t="shared" si="22"/>
        <v>0</v>
      </c>
      <c r="K115" s="162"/>
      <c r="L115" s="335"/>
      <c r="M115" s="162">
        <f t="shared" si="34"/>
        <v>0</v>
      </c>
      <c r="N115" s="335"/>
      <c r="O115" s="162">
        <f t="shared" si="35"/>
        <v>0</v>
      </c>
      <c r="P115" s="162">
        <f t="shared" si="36"/>
        <v>0</v>
      </c>
    </row>
    <row r="116" spans="2:16">
      <c r="B116" s="9" t="str">
        <f t="shared" si="28"/>
        <v/>
      </c>
      <c r="C116" s="157">
        <f>IF(D93="","-",+C115+1)</f>
        <v>2029</v>
      </c>
      <c r="D116" s="158">
        <f>IF(F115+SUM(E$99:E115)=D$92,F115,D$92-SUM(E$99:E115))</f>
        <v>2125270.14</v>
      </c>
      <c r="E116" s="165">
        <f t="shared" si="29"/>
        <v>76878</v>
      </c>
      <c r="F116" s="163">
        <f t="shared" si="30"/>
        <v>2048392.1400000001</v>
      </c>
      <c r="G116" s="163">
        <f t="shared" si="31"/>
        <v>2086831.1400000001</v>
      </c>
      <c r="H116" s="167">
        <f t="shared" si="32"/>
        <v>291269.78003996343</v>
      </c>
      <c r="I116" s="317">
        <f t="shared" si="33"/>
        <v>291269.78003996343</v>
      </c>
      <c r="J116" s="162">
        <f t="shared" si="22"/>
        <v>0</v>
      </c>
      <c r="K116" s="162"/>
      <c r="L116" s="335"/>
      <c r="M116" s="162">
        <f t="shared" si="34"/>
        <v>0</v>
      </c>
      <c r="N116" s="335"/>
      <c r="O116" s="162">
        <f t="shared" si="35"/>
        <v>0</v>
      </c>
      <c r="P116" s="162">
        <f t="shared" si="36"/>
        <v>0</v>
      </c>
    </row>
    <row r="117" spans="2:16">
      <c r="B117" s="9" t="str">
        <f t="shared" si="28"/>
        <v/>
      </c>
      <c r="C117" s="157">
        <f>IF(D93="","-",+C116+1)</f>
        <v>2030</v>
      </c>
      <c r="D117" s="158">
        <f>IF(F116+SUM(E$99:E116)=D$92,F116,D$92-SUM(E$99:E116))</f>
        <v>2048392.1400000001</v>
      </c>
      <c r="E117" s="165">
        <f t="shared" si="29"/>
        <v>76878</v>
      </c>
      <c r="F117" s="163">
        <f t="shared" si="30"/>
        <v>1971514.1400000001</v>
      </c>
      <c r="G117" s="163">
        <f t="shared" si="31"/>
        <v>2009953.1400000001</v>
      </c>
      <c r="H117" s="167">
        <f t="shared" si="32"/>
        <v>283371.67513344367</v>
      </c>
      <c r="I117" s="317">
        <f t="shared" si="33"/>
        <v>283371.67513344367</v>
      </c>
      <c r="J117" s="162">
        <f t="shared" si="22"/>
        <v>0</v>
      </c>
      <c r="K117" s="162"/>
      <c r="L117" s="335"/>
      <c r="M117" s="162">
        <f t="shared" si="34"/>
        <v>0</v>
      </c>
      <c r="N117" s="335"/>
      <c r="O117" s="162">
        <f t="shared" si="35"/>
        <v>0</v>
      </c>
      <c r="P117" s="162">
        <f t="shared" si="36"/>
        <v>0</v>
      </c>
    </row>
    <row r="118" spans="2:16">
      <c r="B118" s="9" t="str">
        <f t="shared" si="28"/>
        <v/>
      </c>
      <c r="C118" s="157">
        <f>IF(D93="","-",+C117+1)</f>
        <v>2031</v>
      </c>
      <c r="D118" s="158">
        <f>IF(F117+SUM(E$99:E117)=D$92,F117,D$92-SUM(E$99:E117))</f>
        <v>1971514.1400000001</v>
      </c>
      <c r="E118" s="165">
        <f t="shared" si="29"/>
        <v>76878</v>
      </c>
      <c r="F118" s="163">
        <f t="shared" si="30"/>
        <v>1894636.1400000001</v>
      </c>
      <c r="G118" s="163">
        <f t="shared" si="31"/>
        <v>1933075.1400000001</v>
      </c>
      <c r="H118" s="167">
        <f t="shared" si="32"/>
        <v>275473.57022692385</v>
      </c>
      <c r="I118" s="317">
        <f t="shared" si="33"/>
        <v>275473.57022692385</v>
      </c>
      <c r="J118" s="162">
        <f t="shared" si="22"/>
        <v>0</v>
      </c>
      <c r="K118" s="162"/>
      <c r="L118" s="335"/>
      <c r="M118" s="162">
        <f t="shared" si="34"/>
        <v>0</v>
      </c>
      <c r="N118" s="335"/>
      <c r="O118" s="162">
        <f t="shared" si="35"/>
        <v>0</v>
      </c>
      <c r="P118" s="162">
        <f t="shared" si="36"/>
        <v>0</v>
      </c>
    </row>
    <row r="119" spans="2:16">
      <c r="B119" s="9" t="str">
        <f t="shared" si="28"/>
        <v/>
      </c>
      <c r="C119" s="157">
        <f>IF(D93="","-",+C118+1)</f>
        <v>2032</v>
      </c>
      <c r="D119" s="158">
        <f>IF(F118+SUM(E$99:E118)=D$92,F118,D$92-SUM(E$99:E118))</f>
        <v>1894636.1400000001</v>
      </c>
      <c r="E119" s="165">
        <f t="shared" si="29"/>
        <v>76878</v>
      </c>
      <c r="F119" s="163">
        <f t="shared" si="30"/>
        <v>1817758.1400000001</v>
      </c>
      <c r="G119" s="163">
        <f t="shared" si="31"/>
        <v>1856197.1400000001</v>
      </c>
      <c r="H119" s="167">
        <f t="shared" si="32"/>
        <v>267575.46532040404</v>
      </c>
      <c r="I119" s="317">
        <f t="shared" si="33"/>
        <v>267575.46532040404</v>
      </c>
      <c r="J119" s="162">
        <f t="shared" si="22"/>
        <v>0</v>
      </c>
      <c r="K119" s="162"/>
      <c r="L119" s="335"/>
      <c r="M119" s="162">
        <f t="shared" si="34"/>
        <v>0</v>
      </c>
      <c r="N119" s="335"/>
      <c r="O119" s="162">
        <f t="shared" si="35"/>
        <v>0</v>
      </c>
      <c r="P119" s="162">
        <f t="shared" si="36"/>
        <v>0</v>
      </c>
    </row>
    <row r="120" spans="2:16">
      <c r="B120" s="9" t="str">
        <f t="shared" si="28"/>
        <v/>
      </c>
      <c r="C120" s="157">
        <f>IF(D93="","-",+C119+1)</f>
        <v>2033</v>
      </c>
      <c r="D120" s="158">
        <f>IF(F119+SUM(E$99:E119)=D$92,F119,D$92-SUM(E$99:E119))</f>
        <v>1817758.1400000001</v>
      </c>
      <c r="E120" s="165">
        <f t="shared" si="29"/>
        <v>76878</v>
      </c>
      <c r="F120" s="163">
        <f t="shared" si="30"/>
        <v>1740880.1400000001</v>
      </c>
      <c r="G120" s="163">
        <f t="shared" si="31"/>
        <v>1779319.1400000001</v>
      </c>
      <c r="H120" s="167">
        <f t="shared" si="32"/>
        <v>259677.36041388425</v>
      </c>
      <c r="I120" s="317">
        <f t="shared" si="33"/>
        <v>259677.36041388425</v>
      </c>
      <c r="J120" s="162">
        <f t="shared" si="22"/>
        <v>0</v>
      </c>
      <c r="K120" s="162"/>
      <c r="L120" s="335"/>
      <c r="M120" s="162">
        <f t="shared" si="34"/>
        <v>0</v>
      </c>
      <c r="N120" s="335"/>
      <c r="O120" s="162">
        <f t="shared" si="35"/>
        <v>0</v>
      </c>
      <c r="P120" s="162">
        <f t="shared" si="36"/>
        <v>0</v>
      </c>
    </row>
    <row r="121" spans="2:16">
      <c r="B121" s="9" t="str">
        <f t="shared" si="28"/>
        <v/>
      </c>
      <c r="C121" s="157">
        <f>IF(D93="","-",+C120+1)</f>
        <v>2034</v>
      </c>
      <c r="D121" s="158">
        <f>IF(F120+SUM(E$99:E120)=D$92,F120,D$92-SUM(E$99:E120))</f>
        <v>1740880.1400000001</v>
      </c>
      <c r="E121" s="165">
        <f t="shared" si="29"/>
        <v>76878</v>
      </c>
      <c r="F121" s="163">
        <f t="shared" si="30"/>
        <v>1664002.1400000001</v>
      </c>
      <c r="G121" s="163">
        <f t="shared" si="31"/>
        <v>1702441.1400000001</v>
      </c>
      <c r="H121" s="167">
        <f t="shared" si="32"/>
        <v>251779.25550736443</v>
      </c>
      <c r="I121" s="317">
        <f t="shared" si="33"/>
        <v>251779.25550736443</v>
      </c>
      <c r="J121" s="162">
        <f t="shared" si="22"/>
        <v>0</v>
      </c>
      <c r="K121" s="162"/>
      <c r="L121" s="335"/>
      <c r="M121" s="162">
        <f t="shared" si="34"/>
        <v>0</v>
      </c>
      <c r="N121" s="335"/>
      <c r="O121" s="162">
        <f t="shared" si="35"/>
        <v>0</v>
      </c>
      <c r="P121" s="162">
        <f t="shared" si="36"/>
        <v>0</v>
      </c>
    </row>
    <row r="122" spans="2:16">
      <c r="B122" s="9" t="str">
        <f t="shared" si="28"/>
        <v/>
      </c>
      <c r="C122" s="157">
        <f>IF(D93="","-",+C121+1)</f>
        <v>2035</v>
      </c>
      <c r="D122" s="158">
        <f>IF(F121+SUM(E$99:E121)=D$92,F121,D$92-SUM(E$99:E121))</f>
        <v>1664002.1400000001</v>
      </c>
      <c r="E122" s="165">
        <f t="shared" si="29"/>
        <v>76878</v>
      </c>
      <c r="F122" s="163">
        <f t="shared" si="30"/>
        <v>1587124.1400000001</v>
      </c>
      <c r="G122" s="163">
        <f t="shared" si="31"/>
        <v>1625563.1400000001</v>
      </c>
      <c r="H122" s="167">
        <f t="shared" si="32"/>
        <v>243881.15060084464</v>
      </c>
      <c r="I122" s="317">
        <f t="shared" si="33"/>
        <v>243881.15060084464</v>
      </c>
      <c r="J122" s="162">
        <f t="shared" si="22"/>
        <v>0</v>
      </c>
      <c r="K122" s="162"/>
      <c r="L122" s="335"/>
      <c r="M122" s="162">
        <f t="shared" si="34"/>
        <v>0</v>
      </c>
      <c r="N122" s="335"/>
      <c r="O122" s="162">
        <f t="shared" si="35"/>
        <v>0</v>
      </c>
      <c r="P122" s="162">
        <f t="shared" si="36"/>
        <v>0</v>
      </c>
    </row>
    <row r="123" spans="2:16">
      <c r="B123" s="9" t="str">
        <f t="shared" si="28"/>
        <v/>
      </c>
      <c r="C123" s="157">
        <f>IF(D93="","-",+C122+1)</f>
        <v>2036</v>
      </c>
      <c r="D123" s="158">
        <f>IF(F122+SUM(E$99:E122)=D$92,F122,D$92-SUM(E$99:E122))</f>
        <v>1587124.1400000001</v>
      </c>
      <c r="E123" s="165">
        <f t="shared" si="29"/>
        <v>76878</v>
      </c>
      <c r="F123" s="163">
        <f t="shared" si="30"/>
        <v>1510246.1400000001</v>
      </c>
      <c r="G123" s="163">
        <f t="shared" si="31"/>
        <v>1548685.1400000001</v>
      </c>
      <c r="H123" s="167">
        <f t="shared" si="32"/>
        <v>235983.04569432483</v>
      </c>
      <c r="I123" s="317">
        <f t="shared" si="33"/>
        <v>235983.04569432483</v>
      </c>
      <c r="J123" s="162">
        <f t="shared" si="22"/>
        <v>0</v>
      </c>
      <c r="K123" s="162"/>
      <c r="L123" s="335"/>
      <c r="M123" s="162">
        <f t="shared" si="34"/>
        <v>0</v>
      </c>
      <c r="N123" s="335"/>
      <c r="O123" s="162">
        <f t="shared" si="35"/>
        <v>0</v>
      </c>
      <c r="P123" s="162">
        <f t="shared" si="36"/>
        <v>0</v>
      </c>
    </row>
    <row r="124" spans="2:16">
      <c r="B124" s="9" t="str">
        <f t="shared" si="28"/>
        <v/>
      </c>
      <c r="C124" s="157">
        <f>IF(D93="","-",+C123+1)</f>
        <v>2037</v>
      </c>
      <c r="D124" s="158">
        <f>IF(F123+SUM(E$99:E123)=D$92,F123,D$92-SUM(E$99:E123))</f>
        <v>1510246.1400000001</v>
      </c>
      <c r="E124" s="165">
        <f t="shared" si="29"/>
        <v>76878</v>
      </c>
      <c r="F124" s="163">
        <f t="shared" si="30"/>
        <v>1433368.1400000001</v>
      </c>
      <c r="G124" s="163">
        <f t="shared" si="31"/>
        <v>1471807.1400000001</v>
      </c>
      <c r="H124" s="167">
        <f t="shared" si="32"/>
        <v>228084.94078780504</v>
      </c>
      <c r="I124" s="317">
        <f t="shared" si="33"/>
        <v>228084.94078780504</v>
      </c>
      <c r="J124" s="162">
        <f t="shared" si="22"/>
        <v>0</v>
      </c>
      <c r="K124" s="162"/>
      <c r="L124" s="335"/>
      <c r="M124" s="162">
        <f t="shared" si="34"/>
        <v>0</v>
      </c>
      <c r="N124" s="335"/>
      <c r="O124" s="162">
        <f t="shared" si="35"/>
        <v>0</v>
      </c>
      <c r="P124" s="162">
        <f t="shared" si="36"/>
        <v>0</v>
      </c>
    </row>
    <row r="125" spans="2:16">
      <c r="B125" s="9" t="str">
        <f t="shared" si="28"/>
        <v/>
      </c>
      <c r="C125" s="157">
        <f>IF(D93="","-",+C124+1)</f>
        <v>2038</v>
      </c>
      <c r="D125" s="158">
        <f>IF(F124+SUM(E$99:E124)=D$92,F124,D$92-SUM(E$99:E124))</f>
        <v>1433368.1400000001</v>
      </c>
      <c r="E125" s="165">
        <f t="shared" si="29"/>
        <v>76878</v>
      </c>
      <c r="F125" s="163">
        <f t="shared" si="30"/>
        <v>1356490.1400000001</v>
      </c>
      <c r="G125" s="163">
        <f t="shared" si="31"/>
        <v>1394929.1400000001</v>
      </c>
      <c r="H125" s="167">
        <f t="shared" si="32"/>
        <v>220186.83588128525</v>
      </c>
      <c r="I125" s="317">
        <f t="shared" si="33"/>
        <v>220186.83588128525</v>
      </c>
      <c r="J125" s="162">
        <f t="shared" si="22"/>
        <v>0</v>
      </c>
      <c r="K125" s="162"/>
      <c r="L125" s="335"/>
      <c r="M125" s="162">
        <f t="shared" si="34"/>
        <v>0</v>
      </c>
      <c r="N125" s="335"/>
      <c r="O125" s="162">
        <f t="shared" si="35"/>
        <v>0</v>
      </c>
      <c r="P125" s="162">
        <f t="shared" si="36"/>
        <v>0</v>
      </c>
    </row>
    <row r="126" spans="2:16">
      <c r="B126" s="9" t="str">
        <f t="shared" si="28"/>
        <v/>
      </c>
      <c r="C126" s="157">
        <f>IF(D93="","-",+C125+1)</f>
        <v>2039</v>
      </c>
      <c r="D126" s="158">
        <f>IF(F125+SUM(E$99:E125)=D$92,F125,D$92-SUM(E$99:E125))</f>
        <v>1356490.1400000001</v>
      </c>
      <c r="E126" s="165">
        <f t="shared" si="29"/>
        <v>76878</v>
      </c>
      <c r="F126" s="163">
        <f t="shared" si="30"/>
        <v>1279612.1400000001</v>
      </c>
      <c r="G126" s="163">
        <f t="shared" si="31"/>
        <v>1318051.1400000001</v>
      </c>
      <c r="H126" s="167">
        <f t="shared" si="32"/>
        <v>212288.73097476544</v>
      </c>
      <c r="I126" s="317">
        <f t="shared" si="33"/>
        <v>212288.73097476544</v>
      </c>
      <c r="J126" s="162">
        <f t="shared" si="22"/>
        <v>0</v>
      </c>
      <c r="K126" s="162"/>
      <c r="L126" s="335"/>
      <c r="M126" s="162">
        <f t="shared" si="34"/>
        <v>0</v>
      </c>
      <c r="N126" s="335"/>
      <c r="O126" s="162">
        <f t="shared" si="35"/>
        <v>0</v>
      </c>
      <c r="P126" s="162">
        <f t="shared" si="36"/>
        <v>0</v>
      </c>
    </row>
    <row r="127" spans="2:16">
      <c r="B127" s="9" t="str">
        <f t="shared" si="28"/>
        <v/>
      </c>
      <c r="C127" s="157">
        <f>IF(D93="","-",+C126+1)</f>
        <v>2040</v>
      </c>
      <c r="D127" s="158">
        <f>IF(F126+SUM(E$99:E126)=D$92,F126,D$92-SUM(E$99:E126))</f>
        <v>1279612.1400000001</v>
      </c>
      <c r="E127" s="165">
        <f t="shared" si="29"/>
        <v>76878</v>
      </c>
      <c r="F127" s="163">
        <f t="shared" si="30"/>
        <v>1202734.1400000001</v>
      </c>
      <c r="G127" s="163">
        <f t="shared" si="31"/>
        <v>1241173.1400000001</v>
      </c>
      <c r="H127" s="167">
        <f t="shared" si="32"/>
        <v>204390.62606824562</v>
      </c>
      <c r="I127" s="317">
        <f t="shared" si="33"/>
        <v>204390.62606824562</v>
      </c>
      <c r="J127" s="162">
        <f t="shared" si="22"/>
        <v>0</v>
      </c>
      <c r="K127" s="162"/>
      <c r="L127" s="335"/>
      <c r="M127" s="162">
        <f t="shared" si="34"/>
        <v>0</v>
      </c>
      <c r="N127" s="335"/>
      <c r="O127" s="162">
        <f t="shared" si="35"/>
        <v>0</v>
      </c>
      <c r="P127" s="162">
        <f t="shared" si="36"/>
        <v>0</v>
      </c>
    </row>
    <row r="128" spans="2:16">
      <c r="B128" s="9" t="str">
        <f t="shared" si="28"/>
        <v/>
      </c>
      <c r="C128" s="157">
        <f>IF(D93="","-",+C127+1)</f>
        <v>2041</v>
      </c>
      <c r="D128" s="158">
        <f>IF(F127+SUM(E$99:E127)=D$92,F127,D$92-SUM(E$99:E127))</f>
        <v>1202734.1400000001</v>
      </c>
      <c r="E128" s="165">
        <f t="shared" si="29"/>
        <v>76878</v>
      </c>
      <c r="F128" s="163">
        <f t="shared" si="30"/>
        <v>1125856.1400000001</v>
      </c>
      <c r="G128" s="163">
        <f t="shared" si="31"/>
        <v>1164295.1400000001</v>
      </c>
      <c r="H128" s="167">
        <f t="shared" si="32"/>
        <v>196492.52116172583</v>
      </c>
      <c r="I128" s="317">
        <f t="shared" si="33"/>
        <v>196492.52116172583</v>
      </c>
      <c r="J128" s="162">
        <f t="shared" si="22"/>
        <v>0</v>
      </c>
      <c r="K128" s="162"/>
      <c r="L128" s="335"/>
      <c r="M128" s="162">
        <f t="shared" si="34"/>
        <v>0</v>
      </c>
      <c r="N128" s="335"/>
      <c r="O128" s="162">
        <f t="shared" si="35"/>
        <v>0</v>
      </c>
      <c r="P128" s="162">
        <f t="shared" si="36"/>
        <v>0</v>
      </c>
    </row>
    <row r="129" spans="2:16">
      <c r="B129" s="9" t="str">
        <f t="shared" si="28"/>
        <v/>
      </c>
      <c r="C129" s="157">
        <f>IF(D93="","-",+C128+1)</f>
        <v>2042</v>
      </c>
      <c r="D129" s="158">
        <f>IF(F128+SUM(E$99:E128)=D$92,F128,D$92-SUM(E$99:E128))</f>
        <v>1125856.1400000001</v>
      </c>
      <c r="E129" s="165">
        <f t="shared" si="29"/>
        <v>76878</v>
      </c>
      <c r="F129" s="163">
        <f t="shared" si="30"/>
        <v>1048978.1400000001</v>
      </c>
      <c r="G129" s="163">
        <f t="shared" si="31"/>
        <v>1087417.1400000001</v>
      </c>
      <c r="H129" s="167">
        <f t="shared" si="32"/>
        <v>188594.41625520604</v>
      </c>
      <c r="I129" s="317">
        <f t="shared" si="33"/>
        <v>188594.41625520604</v>
      </c>
      <c r="J129" s="162">
        <f t="shared" si="22"/>
        <v>0</v>
      </c>
      <c r="K129" s="162"/>
      <c r="L129" s="335"/>
      <c r="M129" s="162">
        <f t="shared" si="34"/>
        <v>0</v>
      </c>
      <c r="N129" s="335"/>
      <c r="O129" s="162">
        <f t="shared" si="35"/>
        <v>0</v>
      </c>
      <c r="P129" s="162">
        <f t="shared" si="36"/>
        <v>0</v>
      </c>
    </row>
    <row r="130" spans="2:16">
      <c r="B130" s="9" t="str">
        <f t="shared" si="28"/>
        <v/>
      </c>
      <c r="C130" s="157">
        <f>IF(D93="","-",+C129+1)</f>
        <v>2043</v>
      </c>
      <c r="D130" s="158">
        <f>IF(F129+SUM(E$99:E129)=D$92,F129,D$92-SUM(E$99:E129))</f>
        <v>1048978.1400000001</v>
      </c>
      <c r="E130" s="165">
        <f t="shared" si="29"/>
        <v>76878</v>
      </c>
      <c r="F130" s="163">
        <f t="shared" si="30"/>
        <v>972100.14000000013</v>
      </c>
      <c r="G130" s="163">
        <f t="shared" si="31"/>
        <v>1010539.1400000001</v>
      </c>
      <c r="H130" s="167">
        <f t="shared" si="32"/>
        <v>180696.31134868623</v>
      </c>
      <c r="I130" s="317">
        <f t="shared" si="33"/>
        <v>180696.31134868623</v>
      </c>
      <c r="J130" s="162">
        <f t="shared" si="22"/>
        <v>0</v>
      </c>
      <c r="K130" s="162"/>
      <c r="L130" s="335"/>
      <c r="M130" s="162">
        <f t="shared" si="34"/>
        <v>0</v>
      </c>
      <c r="N130" s="335"/>
      <c r="O130" s="162">
        <f t="shared" si="35"/>
        <v>0</v>
      </c>
      <c r="P130" s="162">
        <f t="shared" si="36"/>
        <v>0</v>
      </c>
    </row>
    <row r="131" spans="2:16">
      <c r="B131" s="9" t="str">
        <f t="shared" si="28"/>
        <v/>
      </c>
      <c r="C131" s="157">
        <f>IF(D93="","-",+C130+1)</f>
        <v>2044</v>
      </c>
      <c r="D131" s="158">
        <f>IF(F130+SUM(E$99:E130)=D$92,F130,D$92-SUM(E$99:E130))</f>
        <v>972100.14000000013</v>
      </c>
      <c r="E131" s="165">
        <f t="shared" si="29"/>
        <v>76878</v>
      </c>
      <c r="F131" s="163">
        <f t="shared" si="30"/>
        <v>895222.14000000013</v>
      </c>
      <c r="G131" s="163">
        <f t="shared" si="31"/>
        <v>933661.14000000013</v>
      </c>
      <c r="H131" s="167">
        <f t="shared" ref="H131:H154" si="37">+J$94*G131+E131</f>
        <v>172798.20644216644</v>
      </c>
      <c r="I131" s="317">
        <f t="shared" ref="I131:I154" si="38">+J$95*G131+E131</f>
        <v>172798.20644216644</v>
      </c>
      <c r="J131" s="162">
        <f t="shared" ref="J131:J154" si="39">+I541-H541</f>
        <v>0</v>
      </c>
      <c r="K131" s="162"/>
      <c r="L131" s="335"/>
      <c r="M131" s="162">
        <f t="shared" ref="M131:M154" si="40">IF(L541&lt;&gt;0,+H541-L541,0)</f>
        <v>0</v>
      </c>
      <c r="N131" s="335"/>
      <c r="O131" s="162">
        <f t="shared" ref="O131:O154" si="41">IF(N541&lt;&gt;0,+I541-N541,0)</f>
        <v>0</v>
      </c>
      <c r="P131" s="162">
        <f t="shared" ref="P131:P154" si="42">+O541-M541</f>
        <v>0</v>
      </c>
    </row>
    <row r="132" spans="2:16">
      <c r="B132" s="9" t="str">
        <f t="shared" ref="B132:B154" si="43">IF(D132=F131,"","IU")</f>
        <v/>
      </c>
      <c r="C132" s="157">
        <f>IF(D93="","-",+C131+1)</f>
        <v>2045</v>
      </c>
      <c r="D132" s="158">
        <f>IF(F131+SUM(E$99:E131)=D$92,F131,D$92-SUM(E$99:E131))</f>
        <v>895222.14000000013</v>
      </c>
      <c r="E132" s="165">
        <f t="shared" si="29"/>
        <v>76878</v>
      </c>
      <c r="F132" s="163">
        <f t="shared" si="30"/>
        <v>818344.14000000013</v>
      </c>
      <c r="G132" s="163">
        <f t="shared" si="31"/>
        <v>856783.14000000013</v>
      </c>
      <c r="H132" s="167">
        <f t="shared" si="37"/>
        <v>164900.10153564665</v>
      </c>
      <c r="I132" s="317">
        <f t="shared" si="38"/>
        <v>164900.10153564665</v>
      </c>
      <c r="J132" s="162">
        <f t="shared" si="39"/>
        <v>0</v>
      </c>
      <c r="K132" s="162"/>
      <c r="L132" s="335"/>
      <c r="M132" s="162">
        <f t="shared" si="40"/>
        <v>0</v>
      </c>
      <c r="N132" s="335"/>
      <c r="O132" s="162">
        <f t="shared" si="41"/>
        <v>0</v>
      </c>
      <c r="P132" s="162">
        <f t="shared" si="42"/>
        <v>0</v>
      </c>
    </row>
    <row r="133" spans="2:16">
      <c r="B133" s="9" t="str">
        <f t="shared" si="43"/>
        <v/>
      </c>
      <c r="C133" s="157">
        <f>IF(D93="","-",+C132+1)</f>
        <v>2046</v>
      </c>
      <c r="D133" s="158">
        <f>IF(F132+SUM(E$99:E132)=D$92,F132,D$92-SUM(E$99:E132))</f>
        <v>818344.14000000013</v>
      </c>
      <c r="E133" s="165">
        <f t="shared" si="29"/>
        <v>76878</v>
      </c>
      <c r="F133" s="163">
        <f t="shared" si="30"/>
        <v>741466.14000000013</v>
      </c>
      <c r="G133" s="163">
        <f t="shared" si="31"/>
        <v>779905.14000000013</v>
      </c>
      <c r="H133" s="167">
        <f t="shared" si="37"/>
        <v>157001.99662912684</v>
      </c>
      <c r="I133" s="317">
        <f t="shared" si="38"/>
        <v>157001.99662912684</v>
      </c>
      <c r="J133" s="162">
        <f t="shared" si="39"/>
        <v>0</v>
      </c>
      <c r="K133" s="162"/>
      <c r="L133" s="335"/>
      <c r="M133" s="162">
        <f t="shared" si="40"/>
        <v>0</v>
      </c>
      <c r="N133" s="335"/>
      <c r="O133" s="162">
        <f t="shared" si="41"/>
        <v>0</v>
      </c>
      <c r="P133" s="162">
        <f t="shared" si="42"/>
        <v>0</v>
      </c>
    </row>
    <row r="134" spans="2:16">
      <c r="B134" s="9" t="str">
        <f t="shared" si="43"/>
        <v/>
      </c>
      <c r="C134" s="157">
        <f>IF(D93="","-",+C133+1)</f>
        <v>2047</v>
      </c>
      <c r="D134" s="158">
        <f>IF(F133+SUM(E$99:E133)=D$92,F133,D$92-SUM(E$99:E133))</f>
        <v>741466.14000000013</v>
      </c>
      <c r="E134" s="165">
        <f t="shared" si="29"/>
        <v>76878</v>
      </c>
      <c r="F134" s="163">
        <f t="shared" si="30"/>
        <v>664588.14000000013</v>
      </c>
      <c r="G134" s="163">
        <f t="shared" si="31"/>
        <v>703027.14000000013</v>
      </c>
      <c r="H134" s="167">
        <f t="shared" si="37"/>
        <v>149103.89172260702</v>
      </c>
      <c r="I134" s="317">
        <f t="shared" si="38"/>
        <v>149103.89172260702</v>
      </c>
      <c r="J134" s="162">
        <f t="shared" si="39"/>
        <v>0</v>
      </c>
      <c r="K134" s="162"/>
      <c r="L134" s="335"/>
      <c r="M134" s="162">
        <f t="shared" si="40"/>
        <v>0</v>
      </c>
      <c r="N134" s="335"/>
      <c r="O134" s="162">
        <f t="shared" si="41"/>
        <v>0</v>
      </c>
      <c r="P134" s="162">
        <f t="shared" si="42"/>
        <v>0</v>
      </c>
    </row>
    <row r="135" spans="2:16">
      <c r="B135" s="9" t="str">
        <f t="shared" si="43"/>
        <v/>
      </c>
      <c r="C135" s="157">
        <f>IF(D93="","-",+C134+1)</f>
        <v>2048</v>
      </c>
      <c r="D135" s="158">
        <f>IF(F134+SUM(E$99:E134)=D$92,F134,D$92-SUM(E$99:E134))</f>
        <v>664588.14000000013</v>
      </c>
      <c r="E135" s="165">
        <f t="shared" si="29"/>
        <v>76878</v>
      </c>
      <c r="F135" s="163">
        <f t="shared" si="30"/>
        <v>587710.14000000013</v>
      </c>
      <c r="G135" s="163">
        <f t="shared" si="31"/>
        <v>626149.14000000013</v>
      </c>
      <c r="H135" s="167">
        <f t="shared" si="37"/>
        <v>141205.78681608723</v>
      </c>
      <c r="I135" s="317">
        <f t="shared" si="38"/>
        <v>141205.78681608723</v>
      </c>
      <c r="J135" s="162">
        <f t="shared" si="39"/>
        <v>0</v>
      </c>
      <c r="K135" s="162"/>
      <c r="L135" s="335"/>
      <c r="M135" s="162">
        <f t="shared" si="40"/>
        <v>0</v>
      </c>
      <c r="N135" s="335"/>
      <c r="O135" s="162">
        <f t="shared" si="41"/>
        <v>0</v>
      </c>
      <c r="P135" s="162">
        <f t="shared" si="42"/>
        <v>0</v>
      </c>
    </row>
    <row r="136" spans="2:16">
      <c r="B136" s="9" t="str">
        <f t="shared" si="43"/>
        <v/>
      </c>
      <c r="C136" s="157">
        <f>IF(D93="","-",+C135+1)</f>
        <v>2049</v>
      </c>
      <c r="D136" s="158">
        <f>IF(F135+SUM(E$99:E135)=D$92,F135,D$92-SUM(E$99:E135))</f>
        <v>587710.14000000013</v>
      </c>
      <c r="E136" s="165">
        <f t="shared" si="29"/>
        <v>76878</v>
      </c>
      <c r="F136" s="163">
        <f t="shared" si="30"/>
        <v>510832.14000000013</v>
      </c>
      <c r="G136" s="163">
        <f t="shared" si="31"/>
        <v>549271.14000000013</v>
      </c>
      <c r="H136" s="167">
        <f t="shared" si="37"/>
        <v>133307.68190956744</v>
      </c>
      <c r="I136" s="317">
        <f t="shared" si="38"/>
        <v>133307.68190956744</v>
      </c>
      <c r="J136" s="162">
        <f t="shared" si="39"/>
        <v>0</v>
      </c>
      <c r="K136" s="162"/>
      <c r="L136" s="335"/>
      <c r="M136" s="162">
        <f t="shared" si="40"/>
        <v>0</v>
      </c>
      <c r="N136" s="335"/>
      <c r="O136" s="162">
        <f t="shared" si="41"/>
        <v>0</v>
      </c>
      <c r="P136" s="162">
        <f t="shared" si="42"/>
        <v>0</v>
      </c>
    </row>
    <row r="137" spans="2:16">
      <c r="B137" s="9" t="str">
        <f t="shared" si="43"/>
        <v/>
      </c>
      <c r="C137" s="157">
        <f>IF(D93="","-",+C136+1)</f>
        <v>2050</v>
      </c>
      <c r="D137" s="158">
        <f>IF(F136+SUM(E$99:E136)=D$92,F136,D$92-SUM(E$99:E136))</f>
        <v>510832.14000000013</v>
      </c>
      <c r="E137" s="165">
        <f t="shared" si="29"/>
        <v>76878</v>
      </c>
      <c r="F137" s="163">
        <f t="shared" si="30"/>
        <v>433954.14000000013</v>
      </c>
      <c r="G137" s="163">
        <f t="shared" si="31"/>
        <v>472393.14000000013</v>
      </c>
      <c r="H137" s="167">
        <f t="shared" si="37"/>
        <v>125409.57700304763</v>
      </c>
      <c r="I137" s="317">
        <f t="shared" si="38"/>
        <v>125409.57700304763</v>
      </c>
      <c r="J137" s="162">
        <f t="shared" si="39"/>
        <v>0</v>
      </c>
      <c r="K137" s="162"/>
      <c r="L137" s="335"/>
      <c r="M137" s="162">
        <f t="shared" si="40"/>
        <v>0</v>
      </c>
      <c r="N137" s="335"/>
      <c r="O137" s="162">
        <f t="shared" si="41"/>
        <v>0</v>
      </c>
      <c r="P137" s="162">
        <f t="shared" si="42"/>
        <v>0</v>
      </c>
    </row>
    <row r="138" spans="2:16">
      <c r="B138" s="9" t="str">
        <f t="shared" si="43"/>
        <v/>
      </c>
      <c r="C138" s="157">
        <f>IF(D93="","-",+C137+1)</f>
        <v>2051</v>
      </c>
      <c r="D138" s="158">
        <f>IF(F137+SUM(E$99:E137)=D$92,F137,D$92-SUM(E$99:E137))</f>
        <v>433954.14000000013</v>
      </c>
      <c r="E138" s="165">
        <f t="shared" si="29"/>
        <v>76878</v>
      </c>
      <c r="F138" s="163">
        <f t="shared" si="30"/>
        <v>357076.14000000013</v>
      </c>
      <c r="G138" s="163">
        <f t="shared" si="31"/>
        <v>395515.14000000013</v>
      </c>
      <c r="H138" s="167">
        <f t="shared" si="37"/>
        <v>117511.47209652784</v>
      </c>
      <c r="I138" s="317">
        <f t="shared" si="38"/>
        <v>117511.47209652784</v>
      </c>
      <c r="J138" s="162">
        <f t="shared" si="39"/>
        <v>0</v>
      </c>
      <c r="K138" s="162"/>
      <c r="L138" s="335"/>
      <c r="M138" s="162">
        <f t="shared" si="40"/>
        <v>0</v>
      </c>
      <c r="N138" s="335"/>
      <c r="O138" s="162">
        <f t="shared" si="41"/>
        <v>0</v>
      </c>
      <c r="P138" s="162">
        <f t="shared" si="42"/>
        <v>0</v>
      </c>
    </row>
    <row r="139" spans="2:16">
      <c r="B139" s="9" t="str">
        <f t="shared" si="43"/>
        <v/>
      </c>
      <c r="C139" s="157">
        <f>IF(D93="","-",+C138+1)</f>
        <v>2052</v>
      </c>
      <c r="D139" s="158">
        <f>IF(F138+SUM(E$99:E138)=D$92,F138,D$92-SUM(E$99:E138))</f>
        <v>357076.14000000013</v>
      </c>
      <c r="E139" s="165">
        <f t="shared" si="29"/>
        <v>76878</v>
      </c>
      <c r="F139" s="163">
        <f t="shared" si="30"/>
        <v>280198.14000000013</v>
      </c>
      <c r="G139" s="163">
        <f t="shared" si="31"/>
        <v>318637.14000000013</v>
      </c>
      <c r="H139" s="167">
        <f t="shared" si="37"/>
        <v>109613.36719000804</v>
      </c>
      <c r="I139" s="317">
        <f t="shared" si="38"/>
        <v>109613.36719000804</v>
      </c>
      <c r="J139" s="162">
        <f t="shared" si="39"/>
        <v>0</v>
      </c>
      <c r="K139" s="162"/>
      <c r="L139" s="335"/>
      <c r="M139" s="162">
        <f t="shared" si="40"/>
        <v>0</v>
      </c>
      <c r="N139" s="335"/>
      <c r="O139" s="162">
        <f t="shared" si="41"/>
        <v>0</v>
      </c>
      <c r="P139" s="162">
        <f t="shared" si="42"/>
        <v>0</v>
      </c>
    </row>
    <row r="140" spans="2:16">
      <c r="B140" s="9" t="str">
        <f t="shared" si="43"/>
        <v/>
      </c>
      <c r="C140" s="157">
        <f>IF(D93="","-",+C139+1)</f>
        <v>2053</v>
      </c>
      <c r="D140" s="158">
        <f>IF(F139+SUM(E$99:E139)=D$92,F139,D$92-SUM(E$99:E139))</f>
        <v>280198.14000000013</v>
      </c>
      <c r="E140" s="165">
        <f t="shared" si="29"/>
        <v>76878</v>
      </c>
      <c r="F140" s="163">
        <f t="shared" si="30"/>
        <v>203320.14000000013</v>
      </c>
      <c r="G140" s="163">
        <f t="shared" si="31"/>
        <v>241759.14000000013</v>
      </c>
      <c r="H140" s="167">
        <f t="shared" si="37"/>
        <v>101715.26228348823</v>
      </c>
      <c r="I140" s="317">
        <f t="shared" si="38"/>
        <v>101715.26228348823</v>
      </c>
      <c r="J140" s="162">
        <f t="shared" si="39"/>
        <v>0</v>
      </c>
      <c r="K140" s="162"/>
      <c r="L140" s="335"/>
      <c r="M140" s="162">
        <f t="shared" si="40"/>
        <v>0</v>
      </c>
      <c r="N140" s="335"/>
      <c r="O140" s="162">
        <f t="shared" si="41"/>
        <v>0</v>
      </c>
      <c r="P140" s="162">
        <f t="shared" si="42"/>
        <v>0</v>
      </c>
    </row>
    <row r="141" spans="2:16">
      <c r="B141" s="9" t="str">
        <f t="shared" si="43"/>
        <v/>
      </c>
      <c r="C141" s="157">
        <f>IF(D93="","-",+C140+1)</f>
        <v>2054</v>
      </c>
      <c r="D141" s="158">
        <f>IF(F140+SUM(E$99:E140)=D$92,F140,D$92-SUM(E$99:E140))</f>
        <v>203320.14000000013</v>
      </c>
      <c r="E141" s="165">
        <f t="shared" si="29"/>
        <v>76878</v>
      </c>
      <c r="F141" s="163">
        <f t="shared" si="30"/>
        <v>126442.14000000013</v>
      </c>
      <c r="G141" s="163">
        <f t="shared" si="31"/>
        <v>164881.14000000013</v>
      </c>
      <c r="H141" s="167">
        <f t="shared" si="37"/>
        <v>93817.157376968433</v>
      </c>
      <c r="I141" s="317">
        <f t="shared" si="38"/>
        <v>93817.157376968433</v>
      </c>
      <c r="J141" s="162">
        <f t="shared" si="39"/>
        <v>0</v>
      </c>
      <c r="K141" s="162"/>
      <c r="L141" s="335"/>
      <c r="M141" s="162">
        <f t="shared" si="40"/>
        <v>0</v>
      </c>
      <c r="N141" s="335"/>
      <c r="O141" s="162">
        <f t="shared" si="41"/>
        <v>0</v>
      </c>
      <c r="P141" s="162">
        <f t="shared" si="42"/>
        <v>0</v>
      </c>
    </row>
    <row r="142" spans="2:16">
      <c r="B142" s="9" t="str">
        <f t="shared" si="43"/>
        <v/>
      </c>
      <c r="C142" s="157">
        <f>IF(D93="","-",+C141+1)</f>
        <v>2055</v>
      </c>
      <c r="D142" s="158">
        <f>IF(F141+SUM(E$99:E141)=D$92,F141,D$92-SUM(E$99:E141))</f>
        <v>126442.14000000013</v>
      </c>
      <c r="E142" s="165">
        <f t="shared" si="29"/>
        <v>76878</v>
      </c>
      <c r="F142" s="163">
        <f t="shared" si="30"/>
        <v>49564.14000000013</v>
      </c>
      <c r="G142" s="163">
        <f t="shared" si="31"/>
        <v>88003.14000000013</v>
      </c>
      <c r="H142" s="167">
        <f t="shared" si="37"/>
        <v>85919.052470448631</v>
      </c>
      <c r="I142" s="317">
        <f t="shared" si="38"/>
        <v>85919.052470448631</v>
      </c>
      <c r="J142" s="162">
        <f t="shared" si="39"/>
        <v>0</v>
      </c>
      <c r="K142" s="162"/>
      <c r="L142" s="335"/>
      <c r="M142" s="162">
        <f t="shared" si="40"/>
        <v>0</v>
      </c>
      <c r="N142" s="335"/>
      <c r="O142" s="162">
        <f t="shared" si="41"/>
        <v>0</v>
      </c>
      <c r="P142" s="162">
        <f t="shared" si="42"/>
        <v>0</v>
      </c>
    </row>
    <row r="143" spans="2:16">
      <c r="B143" s="9" t="str">
        <f t="shared" si="43"/>
        <v/>
      </c>
      <c r="C143" s="157">
        <f>IF(D93="","-",+C142+1)</f>
        <v>2056</v>
      </c>
      <c r="D143" s="158">
        <f>IF(F142+SUM(E$99:E142)=D$92,F142,D$92-SUM(E$99:E142))</f>
        <v>49564.14000000013</v>
      </c>
      <c r="E143" s="165">
        <f t="shared" si="29"/>
        <v>49564.14000000013</v>
      </c>
      <c r="F143" s="163">
        <f t="shared" si="30"/>
        <v>0</v>
      </c>
      <c r="G143" s="163">
        <f t="shared" si="31"/>
        <v>24782.070000000065</v>
      </c>
      <c r="H143" s="167">
        <f t="shared" si="37"/>
        <v>52110.140008594499</v>
      </c>
      <c r="I143" s="317">
        <f t="shared" si="38"/>
        <v>52110.140008594499</v>
      </c>
      <c r="J143" s="162">
        <f t="shared" si="39"/>
        <v>0</v>
      </c>
      <c r="K143" s="162"/>
      <c r="L143" s="335"/>
      <c r="M143" s="162">
        <f t="shared" si="40"/>
        <v>0</v>
      </c>
      <c r="N143" s="335"/>
      <c r="O143" s="162">
        <f t="shared" si="41"/>
        <v>0</v>
      </c>
      <c r="P143" s="162">
        <f t="shared" si="42"/>
        <v>0</v>
      </c>
    </row>
    <row r="144" spans="2:16">
      <c r="B144" s="9" t="str">
        <f t="shared" si="43"/>
        <v/>
      </c>
      <c r="C144" s="157">
        <f>IF(D93="","-",+C143+1)</f>
        <v>2057</v>
      </c>
      <c r="D144" s="158">
        <f>IF(F143+SUM(E$99:E143)=D$92,F143,D$92-SUM(E$99:E143))</f>
        <v>0</v>
      </c>
      <c r="E144" s="165">
        <f t="shared" si="29"/>
        <v>0</v>
      </c>
      <c r="F144" s="163">
        <f t="shared" si="30"/>
        <v>0</v>
      </c>
      <c r="G144" s="163">
        <f t="shared" si="31"/>
        <v>0</v>
      </c>
      <c r="H144" s="167">
        <f t="shared" si="37"/>
        <v>0</v>
      </c>
      <c r="I144" s="317">
        <f t="shared" si="38"/>
        <v>0</v>
      </c>
      <c r="J144" s="162">
        <f t="shared" si="39"/>
        <v>0</v>
      </c>
      <c r="K144" s="162"/>
      <c r="L144" s="335"/>
      <c r="M144" s="162">
        <f t="shared" si="40"/>
        <v>0</v>
      </c>
      <c r="N144" s="335"/>
      <c r="O144" s="162">
        <f t="shared" si="41"/>
        <v>0</v>
      </c>
      <c r="P144" s="162">
        <f t="shared" si="42"/>
        <v>0</v>
      </c>
    </row>
    <row r="145" spans="2:16">
      <c r="B145" s="9" t="str">
        <f t="shared" si="43"/>
        <v/>
      </c>
      <c r="C145" s="157">
        <f>IF(D93="","-",+C144+1)</f>
        <v>2058</v>
      </c>
      <c r="D145" s="158">
        <f>IF(F144+SUM(E$99:E144)=D$92,F144,D$92-SUM(E$99:E144))</f>
        <v>0</v>
      </c>
      <c r="E145" s="165">
        <f t="shared" si="29"/>
        <v>0</v>
      </c>
      <c r="F145" s="163">
        <f t="shared" si="30"/>
        <v>0</v>
      </c>
      <c r="G145" s="163">
        <f t="shared" si="31"/>
        <v>0</v>
      </c>
      <c r="H145" s="167">
        <f t="shared" si="37"/>
        <v>0</v>
      </c>
      <c r="I145" s="317">
        <f t="shared" si="38"/>
        <v>0</v>
      </c>
      <c r="J145" s="162">
        <f t="shared" si="39"/>
        <v>0</v>
      </c>
      <c r="K145" s="162"/>
      <c r="L145" s="335"/>
      <c r="M145" s="162">
        <f t="shared" si="40"/>
        <v>0</v>
      </c>
      <c r="N145" s="335"/>
      <c r="O145" s="162">
        <f t="shared" si="41"/>
        <v>0</v>
      </c>
      <c r="P145" s="162">
        <f t="shared" si="42"/>
        <v>0</v>
      </c>
    </row>
    <row r="146" spans="2:16">
      <c r="B146" s="9" t="str">
        <f t="shared" si="43"/>
        <v/>
      </c>
      <c r="C146" s="157">
        <f>IF(D93="","-",+C145+1)</f>
        <v>2059</v>
      </c>
      <c r="D146" s="158">
        <f>IF(F145+SUM(E$99:E145)=D$92,F145,D$92-SUM(E$99:E145))</f>
        <v>0</v>
      </c>
      <c r="E146" s="165">
        <f t="shared" si="29"/>
        <v>0</v>
      </c>
      <c r="F146" s="163">
        <f t="shared" si="30"/>
        <v>0</v>
      </c>
      <c r="G146" s="163">
        <f t="shared" si="31"/>
        <v>0</v>
      </c>
      <c r="H146" s="167">
        <f t="shared" si="37"/>
        <v>0</v>
      </c>
      <c r="I146" s="317">
        <f t="shared" si="38"/>
        <v>0</v>
      </c>
      <c r="J146" s="162">
        <f t="shared" si="39"/>
        <v>0</v>
      </c>
      <c r="K146" s="162"/>
      <c r="L146" s="335"/>
      <c r="M146" s="162">
        <f t="shared" si="40"/>
        <v>0</v>
      </c>
      <c r="N146" s="335"/>
      <c r="O146" s="162">
        <f t="shared" si="41"/>
        <v>0</v>
      </c>
      <c r="P146" s="162">
        <f t="shared" si="42"/>
        <v>0</v>
      </c>
    </row>
    <row r="147" spans="2:16">
      <c r="B147" s="9" t="str">
        <f t="shared" si="43"/>
        <v/>
      </c>
      <c r="C147" s="157">
        <f>IF(D93="","-",+C146+1)</f>
        <v>2060</v>
      </c>
      <c r="D147" s="158">
        <f>IF(F146+SUM(E$99:E146)=D$92,F146,D$92-SUM(E$99:E146))</f>
        <v>0</v>
      </c>
      <c r="E147" s="165">
        <f t="shared" si="29"/>
        <v>0</v>
      </c>
      <c r="F147" s="163">
        <f t="shared" si="30"/>
        <v>0</v>
      </c>
      <c r="G147" s="163">
        <f t="shared" si="31"/>
        <v>0</v>
      </c>
      <c r="H147" s="167">
        <f t="shared" si="37"/>
        <v>0</v>
      </c>
      <c r="I147" s="317">
        <f t="shared" si="38"/>
        <v>0</v>
      </c>
      <c r="J147" s="162">
        <f t="shared" si="39"/>
        <v>0</v>
      </c>
      <c r="K147" s="162"/>
      <c r="L147" s="335"/>
      <c r="M147" s="162">
        <f t="shared" si="40"/>
        <v>0</v>
      </c>
      <c r="N147" s="335"/>
      <c r="O147" s="162">
        <f t="shared" si="41"/>
        <v>0</v>
      </c>
      <c r="P147" s="162">
        <f t="shared" si="42"/>
        <v>0</v>
      </c>
    </row>
    <row r="148" spans="2:16">
      <c r="B148" s="9" t="str">
        <f t="shared" si="43"/>
        <v/>
      </c>
      <c r="C148" s="157">
        <f>IF(D93="","-",+C147+1)</f>
        <v>2061</v>
      </c>
      <c r="D148" s="158">
        <f>IF(F147+SUM(E$99:E147)=D$92,F147,D$92-SUM(E$99:E147))</f>
        <v>0</v>
      </c>
      <c r="E148" s="165">
        <f t="shared" si="29"/>
        <v>0</v>
      </c>
      <c r="F148" s="163">
        <f t="shared" si="30"/>
        <v>0</v>
      </c>
      <c r="G148" s="163">
        <f t="shared" si="31"/>
        <v>0</v>
      </c>
      <c r="H148" s="167">
        <f t="shared" si="37"/>
        <v>0</v>
      </c>
      <c r="I148" s="317">
        <f t="shared" si="38"/>
        <v>0</v>
      </c>
      <c r="J148" s="162">
        <f t="shared" si="39"/>
        <v>0</v>
      </c>
      <c r="K148" s="162"/>
      <c r="L148" s="335"/>
      <c r="M148" s="162">
        <f t="shared" si="40"/>
        <v>0</v>
      </c>
      <c r="N148" s="335"/>
      <c r="O148" s="162">
        <f t="shared" si="41"/>
        <v>0</v>
      </c>
      <c r="P148" s="162">
        <f t="shared" si="42"/>
        <v>0</v>
      </c>
    </row>
    <row r="149" spans="2:16">
      <c r="B149" s="9" t="str">
        <f t="shared" si="43"/>
        <v/>
      </c>
      <c r="C149" s="157">
        <f>IF(D93="","-",+C148+1)</f>
        <v>2062</v>
      </c>
      <c r="D149" s="158">
        <f>IF(F148+SUM(E$99:E148)=D$92,F148,D$92-SUM(E$99:E148))</f>
        <v>0</v>
      </c>
      <c r="E149" s="165">
        <f t="shared" si="29"/>
        <v>0</v>
      </c>
      <c r="F149" s="163">
        <f t="shared" si="30"/>
        <v>0</v>
      </c>
      <c r="G149" s="163">
        <f t="shared" si="31"/>
        <v>0</v>
      </c>
      <c r="H149" s="167">
        <f t="shared" si="37"/>
        <v>0</v>
      </c>
      <c r="I149" s="317">
        <f t="shared" si="38"/>
        <v>0</v>
      </c>
      <c r="J149" s="162">
        <f t="shared" si="39"/>
        <v>0</v>
      </c>
      <c r="K149" s="162"/>
      <c r="L149" s="335"/>
      <c r="M149" s="162">
        <f t="shared" si="40"/>
        <v>0</v>
      </c>
      <c r="N149" s="335"/>
      <c r="O149" s="162">
        <f t="shared" si="41"/>
        <v>0</v>
      </c>
      <c r="P149" s="162">
        <f t="shared" si="42"/>
        <v>0</v>
      </c>
    </row>
    <row r="150" spans="2:16">
      <c r="B150" s="9" t="str">
        <f t="shared" si="43"/>
        <v/>
      </c>
      <c r="C150" s="157">
        <f>IF(D93="","-",+C149+1)</f>
        <v>2063</v>
      </c>
      <c r="D150" s="158">
        <f>IF(F149+SUM(E$99:E149)=D$92,F149,D$92-SUM(E$99:E149))</f>
        <v>0</v>
      </c>
      <c r="E150" s="165">
        <f t="shared" si="29"/>
        <v>0</v>
      </c>
      <c r="F150" s="163">
        <f t="shared" si="30"/>
        <v>0</v>
      </c>
      <c r="G150" s="163">
        <f t="shared" si="31"/>
        <v>0</v>
      </c>
      <c r="H150" s="167">
        <f t="shared" si="37"/>
        <v>0</v>
      </c>
      <c r="I150" s="317">
        <f t="shared" si="38"/>
        <v>0</v>
      </c>
      <c r="J150" s="162">
        <f t="shared" si="39"/>
        <v>0</v>
      </c>
      <c r="K150" s="162"/>
      <c r="L150" s="335"/>
      <c r="M150" s="162">
        <f t="shared" si="40"/>
        <v>0</v>
      </c>
      <c r="N150" s="335"/>
      <c r="O150" s="162">
        <f t="shared" si="41"/>
        <v>0</v>
      </c>
      <c r="P150" s="162">
        <f t="shared" si="42"/>
        <v>0</v>
      </c>
    </row>
    <row r="151" spans="2:16">
      <c r="B151" s="9" t="str">
        <f t="shared" si="43"/>
        <v/>
      </c>
      <c r="C151" s="157">
        <f>IF(D93="","-",+C150+1)</f>
        <v>2064</v>
      </c>
      <c r="D151" s="158">
        <f>IF(F150+SUM(E$99:E150)=D$92,F150,D$92-SUM(E$99:E150))</f>
        <v>0</v>
      </c>
      <c r="E151" s="165">
        <f t="shared" si="29"/>
        <v>0</v>
      </c>
      <c r="F151" s="163">
        <f t="shared" si="30"/>
        <v>0</v>
      </c>
      <c r="G151" s="163">
        <f t="shared" si="31"/>
        <v>0</v>
      </c>
      <c r="H151" s="167">
        <f t="shared" si="37"/>
        <v>0</v>
      </c>
      <c r="I151" s="317">
        <f t="shared" si="38"/>
        <v>0</v>
      </c>
      <c r="J151" s="162">
        <f t="shared" si="39"/>
        <v>0</v>
      </c>
      <c r="K151" s="162"/>
      <c r="L151" s="335"/>
      <c r="M151" s="162">
        <f t="shared" si="40"/>
        <v>0</v>
      </c>
      <c r="N151" s="335"/>
      <c r="O151" s="162">
        <f t="shared" si="41"/>
        <v>0</v>
      </c>
      <c r="P151" s="162">
        <f t="shared" si="42"/>
        <v>0</v>
      </c>
    </row>
    <row r="152" spans="2:16">
      <c r="B152" s="9" t="str">
        <f t="shared" si="43"/>
        <v/>
      </c>
      <c r="C152" s="157">
        <f>IF(D93="","-",+C151+1)</f>
        <v>2065</v>
      </c>
      <c r="D152" s="158">
        <f>IF(F151+SUM(E$99:E151)=D$92,F151,D$92-SUM(E$99:E151))</f>
        <v>0</v>
      </c>
      <c r="E152" s="165">
        <f t="shared" si="29"/>
        <v>0</v>
      </c>
      <c r="F152" s="163">
        <f t="shared" si="30"/>
        <v>0</v>
      </c>
      <c r="G152" s="163">
        <f t="shared" si="31"/>
        <v>0</v>
      </c>
      <c r="H152" s="167">
        <f t="shared" si="37"/>
        <v>0</v>
      </c>
      <c r="I152" s="317">
        <f t="shared" si="38"/>
        <v>0</v>
      </c>
      <c r="J152" s="162">
        <f t="shared" si="39"/>
        <v>0</v>
      </c>
      <c r="K152" s="162"/>
      <c r="L152" s="335"/>
      <c r="M152" s="162">
        <f t="shared" si="40"/>
        <v>0</v>
      </c>
      <c r="N152" s="335"/>
      <c r="O152" s="162">
        <f t="shared" si="41"/>
        <v>0</v>
      </c>
      <c r="P152" s="162">
        <f t="shared" si="42"/>
        <v>0</v>
      </c>
    </row>
    <row r="153" spans="2:16">
      <c r="B153" s="9" t="str">
        <f t="shared" si="43"/>
        <v/>
      </c>
      <c r="C153" s="157">
        <f>IF(D93="","-",+C152+1)</f>
        <v>2066</v>
      </c>
      <c r="D153" s="158">
        <f>IF(F152+SUM(E$99:E152)=D$92,F152,D$92-SUM(E$99:E152))</f>
        <v>0</v>
      </c>
      <c r="E153" s="165">
        <f t="shared" si="29"/>
        <v>0</v>
      </c>
      <c r="F153" s="163">
        <f t="shared" si="30"/>
        <v>0</v>
      </c>
      <c r="G153" s="163">
        <f t="shared" si="31"/>
        <v>0</v>
      </c>
      <c r="H153" s="167">
        <f t="shared" si="37"/>
        <v>0</v>
      </c>
      <c r="I153" s="317">
        <f t="shared" si="38"/>
        <v>0</v>
      </c>
      <c r="J153" s="162">
        <f t="shared" si="39"/>
        <v>0</v>
      </c>
      <c r="K153" s="162"/>
      <c r="L153" s="335"/>
      <c r="M153" s="162">
        <f t="shared" si="40"/>
        <v>0</v>
      </c>
      <c r="N153" s="335"/>
      <c r="O153" s="162">
        <f t="shared" si="41"/>
        <v>0</v>
      </c>
      <c r="P153" s="162">
        <f t="shared" si="42"/>
        <v>0</v>
      </c>
    </row>
    <row r="154" spans="2:16" ht="13.5" thickBot="1">
      <c r="B154" s="9" t="str">
        <f t="shared" si="43"/>
        <v/>
      </c>
      <c r="C154" s="168">
        <f>IF(D93="","-",+C153+1)</f>
        <v>2067</v>
      </c>
      <c r="D154" s="219">
        <f>IF(F153+SUM(E$99:E153)=D$92,F153,D$92-SUM(E$99:E153))</f>
        <v>0</v>
      </c>
      <c r="E154" s="377">
        <f t="shared" si="29"/>
        <v>0</v>
      </c>
      <c r="F154" s="169">
        <f t="shared" si="30"/>
        <v>0</v>
      </c>
      <c r="G154" s="169">
        <f t="shared" si="31"/>
        <v>0</v>
      </c>
      <c r="H154" s="171">
        <f t="shared" si="37"/>
        <v>0</v>
      </c>
      <c r="I154" s="318">
        <f t="shared" si="38"/>
        <v>0</v>
      </c>
      <c r="J154" s="173">
        <f t="shared" si="39"/>
        <v>0</v>
      </c>
      <c r="K154" s="162"/>
      <c r="L154" s="336"/>
      <c r="M154" s="173">
        <f t="shared" si="40"/>
        <v>0</v>
      </c>
      <c r="N154" s="336"/>
      <c r="O154" s="173">
        <f t="shared" si="41"/>
        <v>0</v>
      </c>
      <c r="P154" s="173">
        <f t="shared" si="42"/>
        <v>0</v>
      </c>
    </row>
    <row r="155" spans="2:16">
      <c r="C155" s="158" t="s">
        <v>72</v>
      </c>
      <c r="D155" s="115"/>
      <c r="E155" s="115">
        <f>SUM(E99:E154)</f>
        <v>3305767.14</v>
      </c>
      <c r="F155" s="115"/>
      <c r="G155" s="115"/>
      <c r="H155" s="115">
        <f>SUM(H99:H154)</f>
        <v>11361275.71057914</v>
      </c>
      <c r="I155" s="115">
        <f>SUM(I99:I154)</f>
        <v>11361275.71057914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phoneticPr fontId="0" type="noConversion"/>
  <conditionalFormatting sqref="C18:C72">
    <cfRule type="cellIs" dxfId="38" priority="2" stopIfTrue="1" operator="equal">
      <formula>$I$10</formula>
    </cfRule>
  </conditionalFormatting>
  <conditionalFormatting sqref="C99:C154">
    <cfRule type="cellIs" dxfId="37" priority="3" stopIfTrue="1" operator="equal">
      <formula>$J$92</formula>
    </cfRule>
  </conditionalFormatting>
  <conditionalFormatting sqref="C17">
    <cfRule type="cellIs" dxfId="36" priority="1" stopIfTrue="1" operator="equal">
      <formula>$I$10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tabColor rgb="FFC00000"/>
  </sheetPr>
  <dimension ref="A1:P162"/>
  <sheetViews>
    <sheetView view="pageBreakPreview" zoomScale="75" zoomScaleNormal="100" workbookViewId="0">
      <selection activeCell="D17" sqref="D17:H26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"&amp;RIGHT(MID(CELL("filename",$A$1),FIND("]",CELL("filename",$A$1))+1,256),2)&amp;" of "&amp;COUNT('P.001:P.xyz - blank'!$P$3)-1</f>
        <v>PSO Project 13 of 28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275</v>
      </c>
      <c r="L5" s="119"/>
      <c r="M5" s="120"/>
      <c r="N5" s="121">
        <f>VLOOKUP(I10,C17:I72,5)</f>
        <v>2519.8053226007855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276</v>
      </c>
      <c r="L6" s="125"/>
      <c r="M6" s="4"/>
      <c r="N6" s="126">
        <f>VLOOKUP(I10,C17:I72,6)</f>
        <v>2519.8053226007855</v>
      </c>
      <c r="O6" s="1"/>
      <c r="P6" s="1"/>
    </row>
    <row r="7" spans="1:16" ht="13.5" thickBot="1">
      <c r="C7" s="127" t="s">
        <v>41</v>
      </c>
      <c r="D7" s="343" t="s">
        <v>249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 t="str">
        <f>IF(D10&lt;100000,"DOES NOT MEET SPP $100,000 MINIMUM INVESTMENT FOR REGIONAL BPU SHARING.","")</f>
        <v>DOES NOT MEET SPP $100,000 MINIMUM INVESTMENT FOR REGIONAL BPU SHARING.</v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43</v>
      </c>
      <c r="D9" s="382" t="s">
        <v>229</v>
      </c>
      <c r="E9" s="427" t="s">
        <v>311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22097</v>
      </c>
      <c r="E10" s="64" t="s">
        <v>46</v>
      </c>
      <c r="F10" s="137"/>
      <c r="G10" s="139"/>
      <c r="H10" s="139"/>
      <c r="I10" s="140">
        <f>+PSO.WS.F.BPU.ATRR.Projected!L19</f>
        <v>2020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2010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6</v>
      </c>
      <c r="E12" s="141" t="s">
        <v>51</v>
      </c>
      <c r="F12" s="139"/>
      <c r="G12" s="7"/>
      <c r="H12" s="7"/>
      <c r="I12" s="145">
        <f>PSO.WS.F.BPU.ATRR.Projected!$F$81</f>
        <v>0.10800477690995318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42</v>
      </c>
      <c r="E13" s="141" t="s">
        <v>54</v>
      </c>
      <c r="F13" s="139"/>
      <c r="G13" s="7"/>
      <c r="H13" s="7"/>
      <c r="I13" s="145">
        <f>IF(G5="",I12,PSO.WS.F.BPU.ATRR.Projected!$F$80)</f>
        <v>0.10800477690995318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526.11904761904759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277</v>
      </c>
      <c r="H15" s="362" t="s">
        <v>278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6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D11</f>
        <v>2010</v>
      </c>
      <c r="D17" s="366">
        <v>0</v>
      </c>
      <c r="E17" s="371">
        <v>0</v>
      </c>
      <c r="F17" s="371">
        <v>0</v>
      </c>
      <c r="G17" s="371">
        <v>0</v>
      </c>
      <c r="H17" s="408">
        <v>0</v>
      </c>
      <c r="I17" s="160">
        <f t="shared" ref="I17:I48" si="0">H17-G17</f>
        <v>0</v>
      </c>
      <c r="J17" s="175"/>
      <c r="K17" s="338">
        <f t="shared" ref="K17:K22" si="1">G17</f>
        <v>0</v>
      </c>
      <c r="L17" s="407">
        <f t="shared" ref="L17:L48" si="2">IF(K17&lt;&gt;0,+G17-K17,0)</f>
        <v>0</v>
      </c>
      <c r="M17" s="338">
        <f t="shared" ref="M17:M22" si="3">H17</f>
        <v>0</v>
      </c>
      <c r="N17" s="358">
        <f t="shared" ref="N17:N48" si="4">IF(M17&lt;&gt;0,+H17-M17,0)</f>
        <v>0</v>
      </c>
      <c r="O17" s="162">
        <f t="shared" ref="O17:O48" si="5">+N17-L17</f>
        <v>0</v>
      </c>
      <c r="P17" s="4"/>
    </row>
    <row r="18" spans="2:16">
      <c r="B18" s="9" t="str">
        <f t="shared" ref="B18:B49" si="6">IF(D18=F17,"","IU")</f>
        <v/>
      </c>
      <c r="C18" s="157">
        <f>IF($D$11="","-",+C17+1)</f>
        <v>2011</v>
      </c>
      <c r="D18" s="366">
        <v>0</v>
      </c>
      <c r="E18" s="371">
        <v>0</v>
      </c>
      <c r="F18" s="371">
        <v>0</v>
      </c>
      <c r="G18" s="371">
        <v>0</v>
      </c>
      <c r="H18" s="408">
        <v>0</v>
      </c>
      <c r="I18" s="160">
        <f t="shared" si="0"/>
        <v>0</v>
      </c>
      <c r="J18" s="175"/>
      <c r="K18" s="338">
        <f t="shared" si="1"/>
        <v>0</v>
      </c>
      <c r="L18" s="175">
        <f t="shared" si="2"/>
        <v>0</v>
      </c>
      <c r="M18" s="338">
        <f t="shared" si="3"/>
        <v>0</v>
      </c>
      <c r="N18" s="160">
        <f t="shared" si="4"/>
        <v>0</v>
      </c>
      <c r="O18" s="162">
        <f t="shared" si="5"/>
        <v>0</v>
      </c>
      <c r="P18" s="4"/>
    </row>
    <row r="19" spans="2:16">
      <c r="B19" s="9" t="str">
        <f t="shared" si="6"/>
        <v>IU</v>
      </c>
      <c r="C19" s="157">
        <f>IF(D11="","-",+C18+1)</f>
        <v>2012</v>
      </c>
      <c r="D19" s="366">
        <v>22097</v>
      </c>
      <c r="E19" s="368">
        <v>212.47115384615381</v>
      </c>
      <c r="F19" s="366">
        <v>21884.528846153848</v>
      </c>
      <c r="G19" s="368">
        <v>3258.944937760969</v>
      </c>
      <c r="H19" s="370">
        <v>3258.944937760969</v>
      </c>
      <c r="I19" s="160">
        <f>H19-G19</f>
        <v>0</v>
      </c>
      <c r="J19" s="175"/>
      <c r="K19" s="338">
        <f t="shared" si="1"/>
        <v>3258.944937760969</v>
      </c>
      <c r="L19" s="175">
        <f t="shared" si="2"/>
        <v>0</v>
      </c>
      <c r="M19" s="338">
        <f t="shared" si="3"/>
        <v>3258.944937760969</v>
      </c>
      <c r="N19" s="160">
        <f t="shared" si="4"/>
        <v>0</v>
      </c>
      <c r="O19" s="162">
        <f t="shared" si="5"/>
        <v>0</v>
      </c>
      <c r="P19" s="4"/>
    </row>
    <row r="20" spans="2:16">
      <c r="B20" s="9" t="str">
        <f t="shared" si="6"/>
        <v/>
      </c>
      <c r="C20" s="157">
        <f>IF(D11="","-",+C19+1)</f>
        <v>2013</v>
      </c>
      <c r="D20" s="366">
        <v>21884.528846153848</v>
      </c>
      <c r="E20" s="368">
        <v>424.94230769230768</v>
      </c>
      <c r="F20" s="366">
        <v>21459.586538461539</v>
      </c>
      <c r="G20" s="368">
        <v>3489.9423076923076</v>
      </c>
      <c r="H20" s="370">
        <v>3489.9423076923076</v>
      </c>
      <c r="I20" s="160">
        <v>0</v>
      </c>
      <c r="J20" s="160"/>
      <c r="K20" s="338">
        <f t="shared" si="1"/>
        <v>3489.9423076923076</v>
      </c>
      <c r="L20" s="175">
        <f t="shared" ref="L20:L25" si="7">IF(K20&lt;&gt;0,+G20-K20,0)</f>
        <v>0</v>
      </c>
      <c r="M20" s="338">
        <f t="shared" si="3"/>
        <v>3489.9423076923076</v>
      </c>
      <c r="N20" s="160">
        <f t="shared" ref="N20:N25" si="8">IF(M20&lt;&gt;0,+H20-M20,0)</f>
        <v>0</v>
      </c>
      <c r="O20" s="162">
        <f t="shared" ref="O20:O25" si="9">+N20-L20</f>
        <v>0</v>
      </c>
      <c r="P20" s="4"/>
    </row>
    <row r="21" spans="2:16">
      <c r="B21" s="9" t="str">
        <f t="shared" si="6"/>
        <v/>
      </c>
      <c r="C21" s="157">
        <f>IF(D11="","-",+C20+1)</f>
        <v>2014</v>
      </c>
      <c r="D21" s="366">
        <v>21459.586538461539</v>
      </c>
      <c r="E21" s="368">
        <v>424.94230769230768</v>
      </c>
      <c r="F21" s="366">
        <v>21034.64423076923</v>
      </c>
      <c r="G21" s="368">
        <v>3320.9423076923076</v>
      </c>
      <c r="H21" s="370">
        <v>3320.9423076923076</v>
      </c>
      <c r="I21" s="160">
        <v>0</v>
      </c>
      <c r="J21" s="160"/>
      <c r="K21" s="338">
        <f t="shared" si="1"/>
        <v>3320.9423076923076</v>
      </c>
      <c r="L21" s="175">
        <f t="shared" si="7"/>
        <v>0</v>
      </c>
      <c r="M21" s="338">
        <f t="shared" si="3"/>
        <v>3320.9423076923076</v>
      </c>
      <c r="N21" s="160">
        <f t="shared" si="8"/>
        <v>0</v>
      </c>
      <c r="O21" s="162">
        <f t="shared" si="9"/>
        <v>0</v>
      </c>
      <c r="P21" s="4"/>
    </row>
    <row r="22" spans="2:16">
      <c r="B22" s="9" t="str">
        <f t="shared" si="6"/>
        <v/>
      </c>
      <c r="C22" s="157">
        <f>IF(D11="","-",+C21+1)</f>
        <v>2015</v>
      </c>
      <c r="D22" s="366">
        <v>21034.64423076923</v>
      </c>
      <c r="E22" s="368">
        <v>424.94230769230768</v>
      </c>
      <c r="F22" s="366">
        <v>20609.701923076922</v>
      </c>
      <c r="G22" s="368">
        <v>3265.9423076923076</v>
      </c>
      <c r="H22" s="370">
        <v>3265.9423076923076</v>
      </c>
      <c r="I22" s="160">
        <v>0</v>
      </c>
      <c r="J22" s="160"/>
      <c r="K22" s="338">
        <f t="shared" si="1"/>
        <v>3265.9423076923076</v>
      </c>
      <c r="L22" s="175">
        <f t="shared" si="7"/>
        <v>0</v>
      </c>
      <c r="M22" s="338">
        <f t="shared" si="3"/>
        <v>3265.9423076923076</v>
      </c>
      <c r="N22" s="160">
        <f t="shared" si="8"/>
        <v>0</v>
      </c>
      <c r="O22" s="162">
        <f t="shared" si="9"/>
        <v>0</v>
      </c>
      <c r="P22" s="4"/>
    </row>
    <row r="23" spans="2:16">
      <c r="B23" s="9" t="str">
        <f t="shared" si="6"/>
        <v/>
      </c>
      <c r="C23" s="157">
        <f>IF(D11="","-",+C22+1)</f>
        <v>2016</v>
      </c>
      <c r="D23" s="366">
        <v>20609.701923076922</v>
      </c>
      <c r="E23" s="368">
        <v>424.94230769230768</v>
      </c>
      <c r="F23" s="366">
        <v>20184.759615384613</v>
      </c>
      <c r="G23" s="368">
        <v>3071.9423076923076</v>
      </c>
      <c r="H23" s="370">
        <v>3071.9423076923076</v>
      </c>
      <c r="I23" s="160">
        <f t="shared" si="0"/>
        <v>0</v>
      </c>
      <c r="J23" s="160"/>
      <c r="K23" s="338">
        <f>G23</f>
        <v>3071.9423076923076</v>
      </c>
      <c r="L23" s="175">
        <f t="shared" si="7"/>
        <v>0</v>
      </c>
      <c r="M23" s="338">
        <f>H23</f>
        <v>3071.9423076923076</v>
      </c>
      <c r="N23" s="160">
        <f t="shared" si="8"/>
        <v>0</v>
      </c>
      <c r="O23" s="162">
        <f t="shared" si="9"/>
        <v>0</v>
      </c>
      <c r="P23" s="4"/>
    </row>
    <row r="24" spans="2:16">
      <c r="B24" s="9" t="str">
        <f t="shared" si="6"/>
        <v/>
      </c>
      <c r="C24" s="157">
        <f>IF(D11="","-",+C23+1)</f>
        <v>2017</v>
      </c>
      <c r="D24" s="366">
        <v>20184.759615384613</v>
      </c>
      <c r="E24" s="368">
        <v>480.36956521739131</v>
      </c>
      <c r="F24" s="366">
        <v>19704.390050167221</v>
      </c>
      <c r="G24" s="368">
        <v>2988.3695652173915</v>
      </c>
      <c r="H24" s="370">
        <v>2988.3695652173915</v>
      </c>
      <c r="I24" s="160">
        <v>0</v>
      </c>
      <c r="J24" s="160"/>
      <c r="K24" s="338">
        <f>G24</f>
        <v>2988.3695652173915</v>
      </c>
      <c r="L24" s="175">
        <f t="shared" si="7"/>
        <v>0</v>
      </c>
      <c r="M24" s="338">
        <f>H24</f>
        <v>2988.3695652173915</v>
      </c>
      <c r="N24" s="160">
        <f t="shared" si="8"/>
        <v>0</v>
      </c>
      <c r="O24" s="162">
        <f t="shared" si="9"/>
        <v>0</v>
      </c>
      <c r="P24" s="4"/>
    </row>
    <row r="25" spans="2:16">
      <c r="B25" s="9" t="str">
        <f t="shared" si="6"/>
        <v/>
      </c>
      <c r="C25" s="157">
        <f>IF(D11="","-",+C24+1)</f>
        <v>2018</v>
      </c>
      <c r="D25" s="366">
        <v>19704.390050167221</v>
      </c>
      <c r="E25" s="368">
        <v>491.04444444444442</v>
      </c>
      <c r="F25" s="366">
        <v>19213.345605722778</v>
      </c>
      <c r="G25" s="368">
        <v>3091.0444444444443</v>
      </c>
      <c r="H25" s="370">
        <v>3091.0444444444443</v>
      </c>
      <c r="I25" s="160">
        <f t="shared" si="0"/>
        <v>0</v>
      </c>
      <c r="J25" s="160"/>
      <c r="K25" s="338">
        <f>G25</f>
        <v>3091.0444444444443</v>
      </c>
      <c r="L25" s="175">
        <f t="shared" si="7"/>
        <v>0</v>
      </c>
      <c r="M25" s="338">
        <f>H25</f>
        <v>3091.0444444444443</v>
      </c>
      <c r="N25" s="160">
        <f t="shared" si="8"/>
        <v>0</v>
      </c>
      <c r="O25" s="162">
        <f t="shared" si="9"/>
        <v>0</v>
      </c>
      <c r="P25" s="4"/>
    </row>
    <row r="26" spans="2:16">
      <c r="B26" s="9" t="str">
        <f t="shared" si="6"/>
        <v/>
      </c>
      <c r="C26" s="157">
        <f>IF(D11="","-",+C25+1)</f>
        <v>2019</v>
      </c>
      <c r="D26" s="366">
        <v>19213.345605722778</v>
      </c>
      <c r="E26" s="368">
        <v>491.04444444444442</v>
      </c>
      <c r="F26" s="366">
        <v>18722.301161278334</v>
      </c>
      <c r="G26" s="368">
        <v>3025.0444444444443</v>
      </c>
      <c r="H26" s="370">
        <v>3025.0444444444443</v>
      </c>
      <c r="I26" s="160">
        <f t="shared" si="0"/>
        <v>0</v>
      </c>
      <c r="J26" s="160"/>
      <c r="K26" s="338">
        <f>G26</f>
        <v>3025.0444444444443</v>
      </c>
      <c r="L26" s="175">
        <f t="shared" ref="L26" si="10">IF(K26&lt;&gt;0,+G26-K26,0)</f>
        <v>0</v>
      </c>
      <c r="M26" s="338">
        <f>H26</f>
        <v>3025.0444444444443</v>
      </c>
      <c r="N26" s="160">
        <f t="shared" ref="N26" si="11">IF(M26&lt;&gt;0,+H26-M26,0)</f>
        <v>0</v>
      </c>
      <c r="O26" s="162">
        <f t="shared" ref="O26" si="12">+N26-L26</f>
        <v>0</v>
      </c>
      <c r="P26" s="4"/>
    </row>
    <row r="27" spans="2:16">
      <c r="B27" s="9" t="str">
        <f t="shared" si="6"/>
        <v/>
      </c>
      <c r="C27" s="157">
        <f>IF(D11="","-",+C26+1)</f>
        <v>2020</v>
      </c>
      <c r="D27" s="166">
        <f>IF(F26+SUM(E$17:E26)=D$10,F26,D$10-SUM(E$17:E26))</f>
        <v>18722.301161278334</v>
      </c>
      <c r="E27" s="164">
        <f>IF(+I14&lt;F26,I14,D27)</f>
        <v>526.11904761904759</v>
      </c>
      <c r="F27" s="163">
        <f t="shared" ref="F27:F48" si="13">+D27-E27</f>
        <v>18196.182113659288</v>
      </c>
      <c r="G27" s="165">
        <f t="shared" ref="G27:G72" si="14">(D27+F27)/2*I$12+E27</f>
        <v>2519.8053226007855</v>
      </c>
      <c r="H27" s="147">
        <f t="shared" ref="H27:H72" si="15">+(D27+F27)/2*I$13+E27</f>
        <v>2519.8053226007855</v>
      </c>
      <c r="I27" s="160">
        <f t="shared" si="0"/>
        <v>0</v>
      </c>
      <c r="J27" s="160"/>
      <c r="K27" s="335"/>
      <c r="L27" s="162">
        <f t="shared" si="2"/>
        <v>0</v>
      </c>
      <c r="M27" s="335"/>
      <c r="N27" s="162">
        <f t="shared" si="4"/>
        <v>0</v>
      </c>
      <c r="O27" s="162">
        <f t="shared" si="5"/>
        <v>0</v>
      </c>
      <c r="P27" s="4"/>
    </row>
    <row r="28" spans="2:16">
      <c r="B28" s="9" t="str">
        <f t="shared" si="6"/>
        <v/>
      </c>
      <c r="C28" s="157">
        <f>IF(D11="","-",+C27+1)</f>
        <v>2021</v>
      </c>
      <c r="D28" s="163">
        <f>IF(F27+SUM(E$17:E27)=D$10,F27,D$10-SUM(E$17:E27))</f>
        <v>18196.182113659288</v>
      </c>
      <c r="E28" s="164">
        <f>IF(+I14&lt;F27,I14,D28)</f>
        <v>526.11904761904759</v>
      </c>
      <c r="F28" s="163">
        <f t="shared" si="13"/>
        <v>17670.063066040242</v>
      </c>
      <c r="G28" s="165">
        <f t="shared" si="14"/>
        <v>2462.9819522346133</v>
      </c>
      <c r="H28" s="147">
        <f t="shared" si="15"/>
        <v>2462.9819522346133</v>
      </c>
      <c r="I28" s="160">
        <f t="shared" si="0"/>
        <v>0</v>
      </c>
      <c r="J28" s="160"/>
      <c r="K28" s="335"/>
      <c r="L28" s="162">
        <f t="shared" si="2"/>
        <v>0</v>
      </c>
      <c r="M28" s="335"/>
      <c r="N28" s="162">
        <f t="shared" si="4"/>
        <v>0</v>
      </c>
      <c r="O28" s="162">
        <f t="shared" si="5"/>
        <v>0</v>
      </c>
      <c r="P28" s="4"/>
    </row>
    <row r="29" spans="2:16">
      <c r="B29" s="9" t="str">
        <f t="shared" si="6"/>
        <v/>
      </c>
      <c r="C29" s="157">
        <f>IF(D11="","-",+C28+1)</f>
        <v>2022</v>
      </c>
      <c r="D29" s="163">
        <f>IF(F28+SUM(E$17:E28)=D$10,F28,D$10-SUM(E$17:E28))</f>
        <v>17670.063066040242</v>
      </c>
      <c r="E29" s="164">
        <f>IF(+I14&lt;F28,I14,D29)</f>
        <v>526.11904761904759</v>
      </c>
      <c r="F29" s="163">
        <f t="shared" si="13"/>
        <v>17143.944018421196</v>
      </c>
      <c r="G29" s="165">
        <f t="shared" si="14"/>
        <v>2406.1585818684412</v>
      </c>
      <c r="H29" s="147">
        <f t="shared" si="15"/>
        <v>2406.1585818684412</v>
      </c>
      <c r="I29" s="160">
        <f t="shared" si="0"/>
        <v>0</v>
      </c>
      <c r="J29" s="160"/>
      <c r="K29" s="335"/>
      <c r="L29" s="162">
        <f t="shared" si="2"/>
        <v>0</v>
      </c>
      <c r="M29" s="335"/>
      <c r="N29" s="162">
        <f t="shared" si="4"/>
        <v>0</v>
      </c>
      <c r="O29" s="162">
        <f t="shared" si="5"/>
        <v>0</v>
      </c>
      <c r="P29" s="4"/>
    </row>
    <row r="30" spans="2:16">
      <c r="B30" s="9" t="str">
        <f t="shared" si="6"/>
        <v/>
      </c>
      <c r="C30" s="157">
        <f>IF(D11="","-",+C29+1)</f>
        <v>2023</v>
      </c>
      <c r="D30" s="163">
        <f>IF(F29+SUM(E$17:E29)=D$10,F29,D$10-SUM(E$17:E29))</f>
        <v>17143.944018421196</v>
      </c>
      <c r="E30" s="164">
        <f>IF(+I14&lt;F29,I14,D30)</f>
        <v>526.11904761904759</v>
      </c>
      <c r="F30" s="163">
        <f t="shared" si="13"/>
        <v>16617.82497080215</v>
      </c>
      <c r="G30" s="165">
        <f t="shared" si="14"/>
        <v>2349.335211502269</v>
      </c>
      <c r="H30" s="147">
        <f t="shared" si="15"/>
        <v>2349.335211502269</v>
      </c>
      <c r="I30" s="160">
        <f t="shared" si="0"/>
        <v>0</v>
      </c>
      <c r="J30" s="160"/>
      <c r="K30" s="335"/>
      <c r="L30" s="162">
        <f t="shared" si="2"/>
        <v>0</v>
      </c>
      <c r="M30" s="335"/>
      <c r="N30" s="162">
        <f t="shared" si="4"/>
        <v>0</v>
      </c>
      <c r="O30" s="162">
        <f t="shared" si="5"/>
        <v>0</v>
      </c>
      <c r="P30" s="4"/>
    </row>
    <row r="31" spans="2:16">
      <c r="B31" s="9" t="str">
        <f t="shared" si="6"/>
        <v/>
      </c>
      <c r="C31" s="157">
        <f>IF(D11="","-",+C30+1)</f>
        <v>2024</v>
      </c>
      <c r="D31" s="163">
        <f>IF(F30+SUM(E$17:E30)=D$10,F30,D$10-SUM(E$17:E30))</f>
        <v>16617.82497080215</v>
      </c>
      <c r="E31" s="164">
        <f>IF(+I14&lt;F30,I14,D31)</f>
        <v>526.11904761904759</v>
      </c>
      <c r="F31" s="163">
        <f t="shared" si="13"/>
        <v>16091.705923183103</v>
      </c>
      <c r="G31" s="165">
        <f t="shared" si="14"/>
        <v>2292.5118411360968</v>
      </c>
      <c r="H31" s="147">
        <f t="shared" si="15"/>
        <v>2292.5118411360968</v>
      </c>
      <c r="I31" s="160">
        <f t="shared" si="0"/>
        <v>0</v>
      </c>
      <c r="J31" s="160"/>
      <c r="K31" s="335"/>
      <c r="L31" s="162">
        <f t="shared" si="2"/>
        <v>0</v>
      </c>
      <c r="M31" s="335"/>
      <c r="N31" s="162">
        <f t="shared" si="4"/>
        <v>0</v>
      </c>
      <c r="O31" s="162">
        <f t="shared" si="5"/>
        <v>0</v>
      </c>
      <c r="P31" s="4"/>
    </row>
    <row r="32" spans="2:16">
      <c r="B32" s="9" t="str">
        <f t="shared" si="6"/>
        <v/>
      </c>
      <c r="C32" s="157">
        <f>IF(D11="","-",+C31+1)</f>
        <v>2025</v>
      </c>
      <c r="D32" s="163">
        <f>IF(F31+SUM(E$17:E31)=D$10,F31,D$10-SUM(E$17:E31))</f>
        <v>16091.705923183103</v>
      </c>
      <c r="E32" s="164">
        <f>IF(+I14&lt;F31,I14,D32)</f>
        <v>526.11904761904759</v>
      </c>
      <c r="F32" s="163">
        <f t="shared" si="13"/>
        <v>15565.586875564055</v>
      </c>
      <c r="G32" s="165">
        <f t="shared" si="14"/>
        <v>2235.6884707699246</v>
      </c>
      <c r="H32" s="147">
        <f t="shared" si="15"/>
        <v>2235.6884707699246</v>
      </c>
      <c r="I32" s="160">
        <f t="shared" si="0"/>
        <v>0</v>
      </c>
      <c r="J32" s="160"/>
      <c r="K32" s="335"/>
      <c r="L32" s="162">
        <f t="shared" si="2"/>
        <v>0</v>
      </c>
      <c r="M32" s="335"/>
      <c r="N32" s="162">
        <f t="shared" si="4"/>
        <v>0</v>
      </c>
      <c r="O32" s="162">
        <f t="shared" si="5"/>
        <v>0</v>
      </c>
      <c r="P32" s="4"/>
    </row>
    <row r="33" spans="2:16">
      <c r="B33" s="9" t="str">
        <f t="shared" si="6"/>
        <v/>
      </c>
      <c r="C33" s="157">
        <f>IF(D11="","-",+C32+1)</f>
        <v>2026</v>
      </c>
      <c r="D33" s="163">
        <f>IF(F32+SUM(E$17:E32)=D$10,F32,D$10-SUM(E$17:E32))</f>
        <v>15565.586875564055</v>
      </c>
      <c r="E33" s="164">
        <f>IF(+I14&lt;F32,I14,D33)</f>
        <v>526.11904761904759</v>
      </c>
      <c r="F33" s="163">
        <f t="shared" si="13"/>
        <v>15039.467827945007</v>
      </c>
      <c r="G33" s="165">
        <f t="shared" si="14"/>
        <v>2178.8651004037524</v>
      </c>
      <c r="H33" s="147">
        <f t="shared" si="15"/>
        <v>2178.8651004037524</v>
      </c>
      <c r="I33" s="160">
        <f t="shared" si="0"/>
        <v>0</v>
      </c>
      <c r="J33" s="160"/>
      <c r="K33" s="335"/>
      <c r="L33" s="162">
        <f t="shared" si="2"/>
        <v>0</v>
      </c>
      <c r="M33" s="335"/>
      <c r="N33" s="162">
        <f t="shared" si="4"/>
        <v>0</v>
      </c>
      <c r="O33" s="162">
        <f t="shared" si="5"/>
        <v>0</v>
      </c>
      <c r="P33" s="4"/>
    </row>
    <row r="34" spans="2:16">
      <c r="B34" s="9" t="str">
        <f t="shared" si="6"/>
        <v/>
      </c>
      <c r="C34" s="157">
        <f>IF(D11="","-",+C33+1)</f>
        <v>2027</v>
      </c>
      <c r="D34" s="163">
        <f>IF(F33+SUM(E$17:E33)=D$10,F33,D$10-SUM(E$17:E33))</f>
        <v>15039.467827945007</v>
      </c>
      <c r="E34" s="164">
        <f>IF(+I14&lt;F33,I14,D34)</f>
        <v>526.11904761904759</v>
      </c>
      <c r="F34" s="163">
        <f t="shared" si="13"/>
        <v>14513.34878032596</v>
      </c>
      <c r="G34" s="165">
        <f t="shared" si="14"/>
        <v>2122.0417300375798</v>
      </c>
      <c r="H34" s="147">
        <f t="shared" si="15"/>
        <v>2122.0417300375798</v>
      </c>
      <c r="I34" s="160">
        <f t="shared" si="0"/>
        <v>0</v>
      </c>
      <c r="J34" s="160"/>
      <c r="K34" s="335"/>
      <c r="L34" s="162">
        <f t="shared" si="2"/>
        <v>0</v>
      </c>
      <c r="M34" s="335"/>
      <c r="N34" s="162">
        <f t="shared" si="4"/>
        <v>0</v>
      </c>
      <c r="O34" s="162">
        <f t="shared" si="5"/>
        <v>0</v>
      </c>
      <c r="P34" s="4"/>
    </row>
    <row r="35" spans="2:16">
      <c r="B35" s="9" t="str">
        <f t="shared" si="6"/>
        <v/>
      </c>
      <c r="C35" s="157">
        <f>IF(D11="","-",+C34+1)</f>
        <v>2028</v>
      </c>
      <c r="D35" s="163">
        <f>IF(F34+SUM(E$17:E34)=D$10,F34,D$10-SUM(E$17:E34))</f>
        <v>14513.34878032596</v>
      </c>
      <c r="E35" s="164">
        <f>IF(+I14&lt;F34,I14,D35)</f>
        <v>526.11904761904759</v>
      </c>
      <c r="F35" s="163">
        <f t="shared" si="13"/>
        <v>13987.229732706912</v>
      </c>
      <c r="G35" s="165">
        <f t="shared" si="14"/>
        <v>2065.2183596714081</v>
      </c>
      <c r="H35" s="147">
        <f t="shared" si="15"/>
        <v>2065.2183596714081</v>
      </c>
      <c r="I35" s="160">
        <f t="shared" si="0"/>
        <v>0</v>
      </c>
      <c r="J35" s="160"/>
      <c r="K35" s="335"/>
      <c r="L35" s="162">
        <f t="shared" si="2"/>
        <v>0</v>
      </c>
      <c r="M35" s="335"/>
      <c r="N35" s="162">
        <f t="shared" si="4"/>
        <v>0</v>
      </c>
      <c r="O35" s="162">
        <f t="shared" si="5"/>
        <v>0</v>
      </c>
      <c r="P35" s="4"/>
    </row>
    <row r="36" spans="2:16">
      <c r="B36" s="9" t="str">
        <f t="shared" si="6"/>
        <v/>
      </c>
      <c r="C36" s="157">
        <f>IF(D11="","-",+C35+1)</f>
        <v>2029</v>
      </c>
      <c r="D36" s="163">
        <f>IF(F35+SUM(E$17:E35)=D$10,F35,D$10-SUM(E$17:E35))</f>
        <v>13987.229732706912</v>
      </c>
      <c r="E36" s="164">
        <f>IF(+I14&lt;F35,I14,D36)</f>
        <v>526.11904761904759</v>
      </c>
      <c r="F36" s="163">
        <f t="shared" si="13"/>
        <v>13461.110685087864</v>
      </c>
      <c r="G36" s="165">
        <f t="shared" si="14"/>
        <v>2008.3949893052354</v>
      </c>
      <c r="H36" s="147">
        <f t="shared" si="15"/>
        <v>2008.3949893052354</v>
      </c>
      <c r="I36" s="160">
        <f t="shared" si="0"/>
        <v>0</v>
      </c>
      <c r="J36" s="160"/>
      <c r="K36" s="335"/>
      <c r="L36" s="162">
        <f t="shared" si="2"/>
        <v>0</v>
      </c>
      <c r="M36" s="335"/>
      <c r="N36" s="162">
        <f t="shared" si="4"/>
        <v>0</v>
      </c>
      <c r="O36" s="162">
        <f t="shared" si="5"/>
        <v>0</v>
      </c>
      <c r="P36" s="4"/>
    </row>
    <row r="37" spans="2:16">
      <c r="B37" s="9" t="str">
        <f t="shared" si="6"/>
        <v/>
      </c>
      <c r="C37" s="157">
        <f>IF(D11="","-",+C36+1)</f>
        <v>2030</v>
      </c>
      <c r="D37" s="163">
        <f>IF(F36+SUM(E$17:E36)=D$10,F36,D$10-SUM(E$17:E36))</f>
        <v>13461.110685087864</v>
      </c>
      <c r="E37" s="164">
        <f>IF(+I14&lt;F36,I14,D37)</f>
        <v>526.11904761904759</v>
      </c>
      <c r="F37" s="163">
        <f t="shared" si="13"/>
        <v>12934.991637468816</v>
      </c>
      <c r="G37" s="165">
        <f t="shared" si="14"/>
        <v>1951.5716189390632</v>
      </c>
      <c r="H37" s="147">
        <f t="shared" si="15"/>
        <v>1951.5716189390632</v>
      </c>
      <c r="I37" s="160">
        <f t="shared" si="0"/>
        <v>0</v>
      </c>
      <c r="J37" s="160"/>
      <c r="K37" s="335"/>
      <c r="L37" s="162">
        <f t="shared" si="2"/>
        <v>0</v>
      </c>
      <c r="M37" s="335"/>
      <c r="N37" s="162">
        <f t="shared" si="4"/>
        <v>0</v>
      </c>
      <c r="O37" s="162">
        <f t="shared" si="5"/>
        <v>0</v>
      </c>
      <c r="P37" s="4"/>
    </row>
    <row r="38" spans="2:16">
      <c r="B38" s="9" t="str">
        <f t="shared" si="6"/>
        <v/>
      </c>
      <c r="C38" s="157">
        <f>IF(D11="","-",+C37+1)</f>
        <v>2031</v>
      </c>
      <c r="D38" s="163">
        <f>IF(F37+SUM(E$17:E37)=D$10,F37,D$10-SUM(E$17:E37))</f>
        <v>12934.991637468816</v>
      </c>
      <c r="E38" s="164">
        <f>IF(+I14&lt;F37,I14,D38)</f>
        <v>526.11904761904759</v>
      </c>
      <c r="F38" s="163">
        <f t="shared" si="13"/>
        <v>12408.872589849769</v>
      </c>
      <c r="G38" s="165">
        <f t="shared" si="14"/>
        <v>1894.748248572891</v>
      </c>
      <c r="H38" s="147">
        <f t="shared" si="15"/>
        <v>1894.748248572891</v>
      </c>
      <c r="I38" s="160">
        <f t="shared" si="0"/>
        <v>0</v>
      </c>
      <c r="J38" s="160"/>
      <c r="K38" s="335"/>
      <c r="L38" s="162">
        <f t="shared" si="2"/>
        <v>0</v>
      </c>
      <c r="M38" s="335"/>
      <c r="N38" s="162">
        <f t="shared" si="4"/>
        <v>0</v>
      </c>
      <c r="O38" s="162">
        <f t="shared" si="5"/>
        <v>0</v>
      </c>
      <c r="P38" s="4"/>
    </row>
    <row r="39" spans="2:16">
      <c r="B39" s="9" t="str">
        <f t="shared" si="6"/>
        <v/>
      </c>
      <c r="C39" s="157">
        <f>IF(D11="","-",+C38+1)</f>
        <v>2032</v>
      </c>
      <c r="D39" s="163">
        <f>IF(F38+SUM(E$17:E38)=D$10,F38,D$10-SUM(E$17:E38))</f>
        <v>12408.872589849769</v>
      </c>
      <c r="E39" s="164">
        <f>IF(+I14&lt;F38,I14,D39)</f>
        <v>526.11904761904759</v>
      </c>
      <c r="F39" s="163">
        <f t="shared" si="13"/>
        <v>11882.753542230721</v>
      </c>
      <c r="G39" s="165">
        <f t="shared" si="14"/>
        <v>1837.9248782067189</v>
      </c>
      <c r="H39" s="147">
        <f t="shared" si="15"/>
        <v>1837.9248782067189</v>
      </c>
      <c r="I39" s="160">
        <f t="shared" si="0"/>
        <v>0</v>
      </c>
      <c r="J39" s="160"/>
      <c r="K39" s="335"/>
      <c r="L39" s="162">
        <f t="shared" si="2"/>
        <v>0</v>
      </c>
      <c r="M39" s="335"/>
      <c r="N39" s="162">
        <f t="shared" si="4"/>
        <v>0</v>
      </c>
      <c r="O39" s="162">
        <f t="shared" si="5"/>
        <v>0</v>
      </c>
      <c r="P39" s="4"/>
    </row>
    <row r="40" spans="2:16">
      <c r="B40" s="9" t="str">
        <f t="shared" si="6"/>
        <v/>
      </c>
      <c r="C40" s="157">
        <f>IF(D11="","-",+C39+1)</f>
        <v>2033</v>
      </c>
      <c r="D40" s="163">
        <f>IF(F39+SUM(E$17:E39)=D$10,F39,D$10-SUM(E$17:E39))</f>
        <v>11882.753542230721</v>
      </c>
      <c r="E40" s="164">
        <f>IF(+I14&lt;F39,I14,D40)</f>
        <v>526.11904761904759</v>
      </c>
      <c r="F40" s="163">
        <f t="shared" si="13"/>
        <v>11356.634494611673</v>
      </c>
      <c r="G40" s="165">
        <f t="shared" si="14"/>
        <v>1781.1015078405462</v>
      </c>
      <c r="H40" s="147">
        <f t="shared" si="15"/>
        <v>1781.1015078405462</v>
      </c>
      <c r="I40" s="160">
        <f t="shared" si="0"/>
        <v>0</v>
      </c>
      <c r="J40" s="160"/>
      <c r="K40" s="335"/>
      <c r="L40" s="162">
        <f t="shared" si="2"/>
        <v>0</v>
      </c>
      <c r="M40" s="335"/>
      <c r="N40" s="162">
        <f t="shared" si="4"/>
        <v>0</v>
      </c>
      <c r="O40" s="162">
        <f t="shared" si="5"/>
        <v>0</v>
      </c>
      <c r="P40" s="4"/>
    </row>
    <row r="41" spans="2:16">
      <c r="B41" s="9" t="str">
        <f t="shared" si="6"/>
        <v/>
      </c>
      <c r="C41" s="157">
        <f>IF(D11="","-",+C40+1)</f>
        <v>2034</v>
      </c>
      <c r="D41" s="163">
        <f>IF(F40+SUM(E$17:E40)=D$10,F40,D$10-SUM(E$17:E40))</f>
        <v>11356.634494611673</v>
      </c>
      <c r="E41" s="164">
        <f>IF(+I14&lt;F40,I14,D41)</f>
        <v>526.11904761904759</v>
      </c>
      <c r="F41" s="163">
        <f t="shared" si="13"/>
        <v>10830.515446992626</v>
      </c>
      <c r="G41" s="165">
        <f t="shared" si="14"/>
        <v>1724.278137474374</v>
      </c>
      <c r="H41" s="147">
        <f t="shared" si="15"/>
        <v>1724.278137474374</v>
      </c>
      <c r="I41" s="160">
        <f t="shared" si="0"/>
        <v>0</v>
      </c>
      <c r="J41" s="160"/>
      <c r="K41" s="335"/>
      <c r="L41" s="162">
        <f t="shared" si="2"/>
        <v>0</v>
      </c>
      <c r="M41" s="335"/>
      <c r="N41" s="162">
        <f t="shared" si="4"/>
        <v>0</v>
      </c>
      <c r="O41" s="162">
        <f t="shared" si="5"/>
        <v>0</v>
      </c>
      <c r="P41" s="4"/>
    </row>
    <row r="42" spans="2:16">
      <c r="B42" s="9" t="str">
        <f t="shared" si="6"/>
        <v/>
      </c>
      <c r="C42" s="157">
        <f>IF(D11="","-",+C41+1)</f>
        <v>2035</v>
      </c>
      <c r="D42" s="163">
        <f>IF(F41+SUM(E$17:E41)=D$10,F41,D$10-SUM(E$17:E41))</f>
        <v>10830.515446992626</v>
      </c>
      <c r="E42" s="164">
        <f>IF(+I14&lt;F41,I14,D42)</f>
        <v>526.11904761904759</v>
      </c>
      <c r="F42" s="163">
        <f t="shared" si="13"/>
        <v>10304.396399373578</v>
      </c>
      <c r="G42" s="165">
        <f t="shared" si="14"/>
        <v>1667.4547671082018</v>
      </c>
      <c r="H42" s="147">
        <f t="shared" si="15"/>
        <v>1667.4547671082018</v>
      </c>
      <c r="I42" s="160">
        <f t="shared" si="0"/>
        <v>0</v>
      </c>
      <c r="J42" s="160"/>
      <c r="K42" s="335"/>
      <c r="L42" s="162">
        <f t="shared" si="2"/>
        <v>0</v>
      </c>
      <c r="M42" s="335"/>
      <c r="N42" s="162">
        <f t="shared" si="4"/>
        <v>0</v>
      </c>
      <c r="O42" s="162">
        <f t="shared" si="5"/>
        <v>0</v>
      </c>
      <c r="P42" s="4"/>
    </row>
    <row r="43" spans="2:16">
      <c r="B43" s="9" t="str">
        <f t="shared" si="6"/>
        <v/>
      </c>
      <c r="C43" s="157">
        <f>IF(D11="","-",+C42+1)</f>
        <v>2036</v>
      </c>
      <c r="D43" s="163">
        <f>IF(F42+SUM(E$17:E42)=D$10,F42,D$10-SUM(E$17:E42))</f>
        <v>10304.396399373578</v>
      </c>
      <c r="E43" s="164">
        <f>IF(+I14&lt;F42,I14,D43)</f>
        <v>526.11904761904759</v>
      </c>
      <c r="F43" s="163">
        <f t="shared" si="13"/>
        <v>9778.2773517545302</v>
      </c>
      <c r="G43" s="165">
        <f t="shared" si="14"/>
        <v>1610.6313967420297</v>
      </c>
      <c r="H43" s="147">
        <f t="shared" si="15"/>
        <v>1610.6313967420297</v>
      </c>
      <c r="I43" s="160">
        <f t="shared" si="0"/>
        <v>0</v>
      </c>
      <c r="J43" s="160"/>
      <c r="K43" s="335"/>
      <c r="L43" s="162">
        <f t="shared" si="2"/>
        <v>0</v>
      </c>
      <c r="M43" s="335"/>
      <c r="N43" s="162">
        <f t="shared" si="4"/>
        <v>0</v>
      </c>
      <c r="O43" s="162">
        <f t="shared" si="5"/>
        <v>0</v>
      </c>
      <c r="P43" s="4"/>
    </row>
    <row r="44" spans="2:16">
      <c r="B44" s="9" t="str">
        <f t="shared" si="6"/>
        <v/>
      </c>
      <c r="C44" s="157">
        <f>IF(D11="","-",+C43+1)</f>
        <v>2037</v>
      </c>
      <c r="D44" s="163">
        <f>IF(F43+SUM(E$17:E43)=D$10,F43,D$10-SUM(E$17:E43))</f>
        <v>9778.2773517545302</v>
      </c>
      <c r="E44" s="164">
        <f>IF(+I14&lt;F43,I14,D44)</f>
        <v>526.11904761904759</v>
      </c>
      <c r="F44" s="163">
        <f t="shared" si="13"/>
        <v>9252.1583041354825</v>
      </c>
      <c r="G44" s="165">
        <f t="shared" si="14"/>
        <v>1553.808026375857</v>
      </c>
      <c r="H44" s="147">
        <f t="shared" si="15"/>
        <v>1553.808026375857</v>
      </c>
      <c r="I44" s="160">
        <f t="shared" si="0"/>
        <v>0</v>
      </c>
      <c r="J44" s="160"/>
      <c r="K44" s="335"/>
      <c r="L44" s="162">
        <f t="shared" si="2"/>
        <v>0</v>
      </c>
      <c r="M44" s="335"/>
      <c r="N44" s="162">
        <f t="shared" si="4"/>
        <v>0</v>
      </c>
      <c r="O44" s="162">
        <f t="shared" si="5"/>
        <v>0</v>
      </c>
      <c r="P44" s="4"/>
    </row>
    <row r="45" spans="2:16">
      <c r="B45" s="9" t="str">
        <f t="shared" si="6"/>
        <v/>
      </c>
      <c r="C45" s="157">
        <f>IF(D11="","-",+C44+1)</f>
        <v>2038</v>
      </c>
      <c r="D45" s="163">
        <f>IF(F44+SUM(E$17:E44)=D$10,F44,D$10-SUM(E$17:E44))</f>
        <v>9252.1583041354825</v>
      </c>
      <c r="E45" s="164">
        <f>IF(+I14&lt;F44,I14,D45)</f>
        <v>526.11904761904759</v>
      </c>
      <c r="F45" s="163">
        <f t="shared" si="13"/>
        <v>8726.0392565164348</v>
      </c>
      <c r="G45" s="165">
        <f t="shared" si="14"/>
        <v>1496.9846560096851</v>
      </c>
      <c r="H45" s="147">
        <f t="shared" si="15"/>
        <v>1496.9846560096851</v>
      </c>
      <c r="I45" s="160">
        <f t="shared" si="0"/>
        <v>0</v>
      </c>
      <c r="J45" s="160"/>
      <c r="K45" s="335"/>
      <c r="L45" s="162">
        <f t="shared" si="2"/>
        <v>0</v>
      </c>
      <c r="M45" s="335"/>
      <c r="N45" s="162">
        <f t="shared" si="4"/>
        <v>0</v>
      </c>
      <c r="O45" s="162">
        <f t="shared" si="5"/>
        <v>0</v>
      </c>
      <c r="P45" s="4"/>
    </row>
    <row r="46" spans="2:16">
      <c r="B46" s="9" t="str">
        <f t="shared" si="6"/>
        <v/>
      </c>
      <c r="C46" s="157">
        <f>IF(D11="","-",+C45+1)</f>
        <v>2039</v>
      </c>
      <c r="D46" s="163">
        <f>IF(F45+SUM(E$17:E45)=D$10,F45,D$10-SUM(E$17:E45))</f>
        <v>8726.0392565164348</v>
      </c>
      <c r="E46" s="164">
        <f>IF(+I14&lt;F45,I14,D46)</f>
        <v>526.11904761904759</v>
      </c>
      <c r="F46" s="163">
        <f t="shared" si="13"/>
        <v>8199.9202088973871</v>
      </c>
      <c r="G46" s="165">
        <f t="shared" si="14"/>
        <v>1440.1612856435127</v>
      </c>
      <c r="H46" s="147">
        <f t="shared" si="15"/>
        <v>1440.1612856435127</v>
      </c>
      <c r="I46" s="160">
        <f t="shared" si="0"/>
        <v>0</v>
      </c>
      <c r="J46" s="160"/>
      <c r="K46" s="335"/>
      <c r="L46" s="162">
        <f t="shared" si="2"/>
        <v>0</v>
      </c>
      <c r="M46" s="335"/>
      <c r="N46" s="162">
        <f t="shared" si="4"/>
        <v>0</v>
      </c>
      <c r="O46" s="162">
        <f t="shared" si="5"/>
        <v>0</v>
      </c>
      <c r="P46" s="4"/>
    </row>
    <row r="47" spans="2:16">
      <c r="B47" s="9" t="str">
        <f t="shared" si="6"/>
        <v/>
      </c>
      <c r="C47" s="157">
        <f>IF(D11="","-",+C46+1)</f>
        <v>2040</v>
      </c>
      <c r="D47" s="163">
        <f>IF(F46+SUM(E$17:E46)=D$10,F46,D$10-SUM(E$17:E46))</f>
        <v>8199.9202088973871</v>
      </c>
      <c r="E47" s="164">
        <f>IF(+I14&lt;F46,I14,D47)</f>
        <v>526.11904761904759</v>
      </c>
      <c r="F47" s="163">
        <f t="shared" si="13"/>
        <v>7673.8011612783394</v>
      </c>
      <c r="G47" s="165">
        <f t="shared" si="14"/>
        <v>1383.3379152773405</v>
      </c>
      <c r="H47" s="147">
        <f t="shared" si="15"/>
        <v>1383.3379152773405</v>
      </c>
      <c r="I47" s="160">
        <f t="shared" si="0"/>
        <v>0</v>
      </c>
      <c r="J47" s="160"/>
      <c r="K47" s="335"/>
      <c r="L47" s="162">
        <f t="shared" si="2"/>
        <v>0</v>
      </c>
      <c r="M47" s="335"/>
      <c r="N47" s="162">
        <f t="shared" si="4"/>
        <v>0</v>
      </c>
      <c r="O47" s="162">
        <f t="shared" si="5"/>
        <v>0</v>
      </c>
      <c r="P47" s="4"/>
    </row>
    <row r="48" spans="2:16">
      <c r="B48" s="9" t="str">
        <f t="shared" si="6"/>
        <v/>
      </c>
      <c r="C48" s="157">
        <f>IF(D11="","-",+C47+1)</f>
        <v>2041</v>
      </c>
      <c r="D48" s="163">
        <f>IF(F47+SUM(E$17:E47)=D$10,F47,D$10-SUM(E$17:E47))</f>
        <v>7673.8011612783394</v>
      </c>
      <c r="E48" s="164">
        <f>IF(+I14&lt;F47,I14,D48)</f>
        <v>526.11904761904759</v>
      </c>
      <c r="F48" s="163">
        <f t="shared" si="13"/>
        <v>7147.6821136592916</v>
      </c>
      <c r="G48" s="165">
        <f t="shared" si="14"/>
        <v>1326.5145449111683</v>
      </c>
      <c r="H48" s="147">
        <f t="shared" si="15"/>
        <v>1326.5145449111683</v>
      </c>
      <c r="I48" s="160">
        <f t="shared" si="0"/>
        <v>0</v>
      </c>
      <c r="J48" s="160"/>
      <c r="K48" s="335"/>
      <c r="L48" s="162">
        <f t="shared" si="2"/>
        <v>0</v>
      </c>
      <c r="M48" s="335"/>
      <c r="N48" s="162">
        <f t="shared" si="4"/>
        <v>0</v>
      </c>
      <c r="O48" s="162">
        <f t="shared" si="5"/>
        <v>0</v>
      </c>
      <c r="P48" s="4"/>
    </row>
    <row r="49" spans="2:16">
      <c r="B49" s="9" t="str">
        <f t="shared" si="6"/>
        <v/>
      </c>
      <c r="C49" s="157">
        <f>IF(D11="","-",+C48+1)</f>
        <v>2042</v>
      </c>
      <c r="D49" s="163">
        <f>IF(F48+SUM(E$17:E48)=D$10,F48,D$10-SUM(E$17:E48))</f>
        <v>7147.6821136592916</v>
      </c>
      <c r="E49" s="164">
        <f>IF(+I14&lt;F48,I14,D49)</f>
        <v>526.11904761904759</v>
      </c>
      <c r="F49" s="163">
        <f t="shared" ref="F49:F72" si="16">+D49-E49</f>
        <v>6621.5630660402439</v>
      </c>
      <c r="G49" s="165">
        <f t="shared" si="14"/>
        <v>1269.6911745449959</v>
      </c>
      <c r="H49" s="147">
        <f t="shared" si="15"/>
        <v>1269.6911745449959</v>
      </c>
      <c r="I49" s="160">
        <f t="shared" ref="I49:I72" si="17">H49-G49</f>
        <v>0</v>
      </c>
      <c r="J49" s="160"/>
      <c r="K49" s="335"/>
      <c r="L49" s="162">
        <f t="shared" ref="L49:L72" si="18">IF(K49&lt;&gt;0,+G49-K49,0)</f>
        <v>0</v>
      </c>
      <c r="M49" s="335"/>
      <c r="N49" s="162">
        <f t="shared" ref="N49:N72" si="19">IF(M49&lt;&gt;0,+H49-M49,0)</f>
        <v>0</v>
      </c>
      <c r="O49" s="162">
        <f t="shared" ref="O49:O72" si="20">+N49-L49</f>
        <v>0</v>
      </c>
      <c r="P49" s="4"/>
    </row>
    <row r="50" spans="2:16">
      <c r="B50" s="9" t="str">
        <f t="shared" ref="B50:B72" si="21">IF(D50=F49,"","IU")</f>
        <v/>
      </c>
      <c r="C50" s="157">
        <f>IF(D11="","-",+C49+1)</f>
        <v>2043</v>
      </c>
      <c r="D50" s="163">
        <f>IF(F49+SUM(E$17:E49)=D$10,F49,D$10-SUM(E$17:E49))</f>
        <v>6621.5630660402439</v>
      </c>
      <c r="E50" s="164">
        <f>IF(+I14&lt;F49,I14,D50)</f>
        <v>526.11904761904759</v>
      </c>
      <c r="F50" s="163">
        <f t="shared" si="16"/>
        <v>6095.4440184211962</v>
      </c>
      <c r="G50" s="165">
        <f t="shared" si="14"/>
        <v>1212.8678041788235</v>
      </c>
      <c r="H50" s="147">
        <f t="shared" si="15"/>
        <v>1212.8678041788235</v>
      </c>
      <c r="I50" s="160">
        <f t="shared" si="17"/>
        <v>0</v>
      </c>
      <c r="J50" s="160"/>
      <c r="K50" s="335"/>
      <c r="L50" s="162">
        <f t="shared" si="18"/>
        <v>0</v>
      </c>
      <c r="M50" s="335"/>
      <c r="N50" s="162">
        <f t="shared" si="19"/>
        <v>0</v>
      </c>
      <c r="O50" s="162">
        <f t="shared" si="20"/>
        <v>0</v>
      </c>
      <c r="P50" s="4"/>
    </row>
    <row r="51" spans="2:16">
      <c r="B51" s="9" t="str">
        <f t="shared" si="21"/>
        <v/>
      </c>
      <c r="C51" s="157">
        <f>IF(D11="","-",+C50+1)</f>
        <v>2044</v>
      </c>
      <c r="D51" s="163">
        <f>IF(F50+SUM(E$17:E50)=D$10,F50,D$10-SUM(E$17:E50))</f>
        <v>6095.4440184211962</v>
      </c>
      <c r="E51" s="164">
        <f>IF(+I14&lt;F50,I14,D51)</f>
        <v>526.11904761904759</v>
      </c>
      <c r="F51" s="163">
        <f t="shared" si="16"/>
        <v>5569.3249708021485</v>
      </c>
      <c r="G51" s="165">
        <f t="shared" si="14"/>
        <v>1156.0444338126513</v>
      </c>
      <c r="H51" s="147">
        <f t="shared" si="15"/>
        <v>1156.0444338126513</v>
      </c>
      <c r="I51" s="160">
        <f t="shared" si="17"/>
        <v>0</v>
      </c>
      <c r="J51" s="160"/>
      <c r="K51" s="335"/>
      <c r="L51" s="162">
        <f t="shared" si="18"/>
        <v>0</v>
      </c>
      <c r="M51" s="335"/>
      <c r="N51" s="162">
        <f t="shared" si="19"/>
        <v>0</v>
      </c>
      <c r="O51" s="162">
        <f t="shared" si="20"/>
        <v>0</v>
      </c>
      <c r="P51" s="4"/>
    </row>
    <row r="52" spans="2:16">
      <c r="B52" s="9" t="str">
        <f t="shared" si="21"/>
        <v/>
      </c>
      <c r="C52" s="157">
        <f>IF(D11="","-",+C51+1)</f>
        <v>2045</v>
      </c>
      <c r="D52" s="163">
        <f>IF(F51+SUM(E$17:E51)=D$10,F51,D$10-SUM(E$17:E51))</f>
        <v>5569.3249708021485</v>
      </c>
      <c r="E52" s="164">
        <f>IF(+I14&lt;F51,I14,D52)</f>
        <v>526.11904761904759</v>
      </c>
      <c r="F52" s="163">
        <f t="shared" si="16"/>
        <v>5043.2059231831008</v>
      </c>
      <c r="G52" s="165">
        <f t="shared" si="14"/>
        <v>1099.2210634464791</v>
      </c>
      <c r="H52" s="147">
        <f t="shared" si="15"/>
        <v>1099.2210634464791</v>
      </c>
      <c r="I52" s="160">
        <f t="shared" si="17"/>
        <v>0</v>
      </c>
      <c r="J52" s="160"/>
      <c r="K52" s="335"/>
      <c r="L52" s="162">
        <f t="shared" si="18"/>
        <v>0</v>
      </c>
      <c r="M52" s="335"/>
      <c r="N52" s="162">
        <f t="shared" si="19"/>
        <v>0</v>
      </c>
      <c r="O52" s="162">
        <f t="shared" si="20"/>
        <v>0</v>
      </c>
      <c r="P52" s="4"/>
    </row>
    <row r="53" spans="2:16">
      <c r="B53" s="9" t="str">
        <f t="shared" si="21"/>
        <v/>
      </c>
      <c r="C53" s="157">
        <f>IF(D11="","-",+C52+1)</f>
        <v>2046</v>
      </c>
      <c r="D53" s="163">
        <f>IF(F52+SUM(E$17:E52)=D$10,F52,D$10-SUM(E$17:E52))</f>
        <v>5043.2059231831008</v>
      </c>
      <c r="E53" s="164">
        <f>IF(+I14&lt;F52,I14,D53)</f>
        <v>526.11904761904759</v>
      </c>
      <c r="F53" s="163">
        <f t="shared" si="16"/>
        <v>4517.0868755640531</v>
      </c>
      <c r="G53" s="165">
        <f t="shared" si="14"/>
        <v>1042.3976930803067</v>
      </c>
      <c r="H53" s="147">
        <f t="shared" si="15"/>
        <v>1042.3976930803067</v>
      </c>
      <c r="I53" s="160">
        <f t="shared" si="17"/>
        <v>0</v>
      </c>
      <c r="J53" s="160"/>
      <c r="K53" s="335"/>
      <c r="L53" s="162">
        <f t="shared" si="18"/>
        <v>0</v>
      </c>
      <c r="M53" s="335"/>
      <c r="N53" s="162">
        <f t="shared" si="19"/>
        <v>0</v>
      </c>
      <c r="O53" s="162">
        <f t="shared" si="20"/>
        <v>0</v>
      </c>
      <c r="P53" s="4"/>
    </row>
    <row r="54" spans="2:16">
      <c r="B54" s="9" t="str">
        <f t="shared" si="21"/>
        <v/>
      </c>
      <c r="C54" s="157">
        <f>IF(D11="","-",+C53+1)</f>
        <v>2047</v>
      </c>
      <c r="D54" s="163">
        <f>IF(F53+SUM(E$17:E53)=D$10,F53,D$10-SUM(E$17:E53))</f>
        <v>4517.0868755640531</v>
      </c>
      <c r="E54" s="164">
        <f>IF(+I14&lt;F53,I14,D54)</f>
        <v>526.11904761904759</v>
      </c>
      <c r="F54" s="163">
        <f t="shared" si="16"/>
        <v>3990.9678279450054</v>
      </c>
      <c r="G54" s="165">
        <f t="shared" si="14"/>
        <v>985.5743227141345</v>
      </c>
      <c r="H54" s="147">
        <f t="shared" si="15"/>
        <v>985.5743227141345</v>
      </c>
      <c r="I54" s="160">
        <f t="shared" si="17"/>
        <v>0</v>
      </c>
      <c r="J54" s="160"/>
      <c r="K54" s="335"/>
      <c r="L54" s="162">
        <f t="shared" si="18"/>
        <v>0</v>
      </c>
      <c r="M54" s="335"/>
      <c r="N54" s="162">
        <f t="shared" si="19"/>
        <v>0</v>
      </c>
      <c r="O54" s="162">
        <f t="shared" si="20"/>
        <v>0</v>
      </c>
      <c r="P54" s="4"/>
    </row>
    <row r="55" spans="2:16">
      <c r="B55" s="9" t="str">
        <f t="shared" si="21"/>
        <v/>
      </c>
      <c r="C55" s="157">
        <f>IF(D11="","-",+C54+1)</f>
        <v>2048</v>
      </c>
      <c r="D55" s="163">
        <f>IF(F54+SUM(E$17:E54)=D$10,F54,D$10-SUM(E$17:E54))</f>
        <v>3990.9678279450054</v>
      </c>
      <c r="E55" s="164">
        <f>IF(+I14&lt;F54,I14,D55)</f>
        <v>526.11904761904759</v>
      </c>
      <c r="F55" s="163">
        <f t="shared" si="16"/>
        <v>3464.8487803259577</v>
      </c>
      <c r="G55" s="165">
        <f t="shared" si="14"/>
        <v>928.75095234796208</v>
      </c>
      <c r="H55" s="147">
        <f t="shared" si="15"/>
        <v>928.75095234796208</v>
      </c>
      <c r="I55" s="160">
        <f t="shared" si="17"/>
        <v>0</v>
      </c>
      <c r="J55" s="160"/>
      <c r="K55" s="335"/>
      <c r="L55" s="162">
        <f t="shared" si="18"/>
        <v>0</v>
      </c>
      <c r="M55" s="335"/>
      <c r="N55" s="162">
        <f t="shared" si="19"/>
        <v>0</v>
      </c>
      <c r="O55" s="162">
        <f t="shared" si="20"/>
        <v>0</v>
      </c>
      <c r="P55" s="4"/>
    </row>
    <row r="56" spans="2:16">
      <c r="B56" s="9" t="str">
        <f t="shared" si="21"/>
        <v/>
      </c>
      <c r="C56" s="157">
        <f>IF(D11="","-",+C55+1)</f>
        <v>2049</v>
      </c>
      <c r="D56" s="163">
        <f>IF(F55+SUM(E$17:E55)=D$10,F55,D$10-SUM(E$17:E55))</f>
        <v>3464.8487803259577</v>
      </c>
      <c r="E56" s="164">
        <f>IF(+I14&lt;F55,I14,D56)</f>
        <v>526.11904761904759</v>
      </c>
      <c r="F56" s="163">
        <f t="shared" si="16"/>
        <v>2938.72973270691</v>
      </c>
      <c r="G56" s="165">
        <f t="shared" si="14"/>
        <v>871.9275819817899</v>
      </c>
      <c r="H56" s="147">
        <f t="shared" si="15"/>
        <v>871.9275819817899</v>
      </c>
      <c r="I56" s="160">
        <f t="shared" si="17"/>
        <v>0</v>
      </c>
      <c r="J56" s="160"/>
      <c r="K56" s="335"/>
      <c r="L56" s="162">
        <f t="shared" si="18"/>
        <v>0</v>
      </c>
      <c r="M56" s="335"/>
      <c r="N56" s="162">
        <f t="shared" si="19"/>
        <v>0</v>
      </c>
      <c r="O56" s="162">
        <f t="shared" si="20"/>
        <v>0</v>
      </c>
      <c r="P56" s="4"/>
    </row>
    <row r="57" spans="2:16">
      <c r="B57" s="9" t="str">
        <f t="shared" si="21"/>
        <v/>
      </c>
      <c r="C57" s="157">
        <f>IF(D11="","-",+C56+1)</f>
        <v>2050</v>
      </c>
      <c r="D57" s="163">
        <f>IF(F56+SUM(E$17:E56)=D$10,F56,D$10-SUM(E$17:E56))</f>
        <v>2938.72973270691</v>
      </c>
      <c r="E57" s="164">
        <f>IF(+I14&lt;F56,I14,D57)</f>
        <v>526.11904761904759</v>
      </c>
      <c r="F57" s="163">
        <f t="shared" si="16"/>
        <v>2412.6106850878623</v>
      </c>
      <c r="G57" s="165">
        <f t="shared" si="14"/>
        <v>815.1042116156176</v>
      </c>
      <c r="H57" s="147">
        <f t="shared" si="15"/>
        <v>815.1042116156176</v>
      </c>
      <c r="I57" s="160">
        <f t="shared" si="17"/>
        <v>0</v>
      </c>
      <c r="J57" s="160"/>
      <c r="K57" s="335"/>
      <c r="L57" s="162">
        <f t="shared" si="18"/>
        <v>0</v>
      </c>
      <c r="M57" s="335"/>
      <c r="N57" s="162">
        <f t="shared" si="19"/>
        <v>0</v>
      </c>
      <c r="O57" s="162">
        <f t="shared" si="20"/>
        <v>0</v>
      </c>
      <c r="P57" s="4"/>
    </row>
    <row r="58" spans="2:16">
      <c r="B58" s="9" t="str">
        <f t="shared" si="21"/>
        <v/>
      </c>
      <c r="C58" s="157">
        <f>IF(D11="","-",+C57+1)</f>
        <v>2051</v>
      </c>
      <c r="D58" s="163">
        <f>IF(F57+SUM(E$17:E57)=D$10,F57,D$10-SUM(E$17:E57))</f>
        <v>2412.6106850878623</v>
      </c>
      <c r="E58" s="164">
        <f>IF(+I14&lt;F57,I14,D58)</f>
        <v>526.11904761904759</v>
      </c>
      <c r="F58" s="163">
        <f t="shared" si="16"/>
        <v>1886.4916374688146</v>
      </c>
      <c r="G58" s="165">
        <f t="shared" si="14"/>
        <v>758.2808412494453</v>
      </c>
      <c r="H58" s="147">
        <f t="shared" si="15"/>
        <v>758.2808412494453</v>
      </c>
      <c r="I58" s="160">
        <f t="shared" si="17"/>
        <v>0</v>
      </c>
      <c r="J58" s="160"/>
      <c r="K58" s="335"/>
      <c r="L58" s="162">
        <f t="shared" si="18"/>
        <v>0</v>
      </c>
      <c r="M58" s="335"/>
      <c r="N58" s="162">
        <f t="shared" si="19"/>
        <v>0</v>
      </c>
      <c r="O58" s="162">
        <f t="shared" si="20"/>
        <v>0</v>
      </c>
      <c r="P58" s="4"/>
    </row>
    <row r="59" spans="2:16">
      <c r="B59" s="9" t="str">
        <f t="shared" si="21"/>
        <v/>
      </c>
      <c r="C59" s="157">
        <f>IF(D11="","-",+C58+1)</f>
        <v>2052</v>
      </c>
      <c r="D59" s="163">
        <f>IF(F58+SUM(E$17:E58)=D$10,F58,D$10-SUM(E$17:E58))</f>
        <v>1886.4916374688146</v>
      </c>
      <c r="E59" s="164">
        <f>IF(+I14&lt;F58,I14,D59)</f>
        <v>526.11904761904759</v>
      </c>
      <c r="F59" s="163">
        <f t="shared" si="16"/>
        <v>1360.3725898497669</v>
      </c>
      <c r="G59" s="165">
        <f t="shared" si="14"/>
        <v>701.457470883273</v>
      </c>
      <c r="H59" s="147">
        <f t="shared" si="15"/>
        <v>701.457470883273</v>
      </c>
      <c r="I59" s="160">
        <f t="shared" si="17"/>
        <v>0</v>
      </c>
      <c r="J59" s="160"/>
      <c r="K59" s="335"/>
      <c r="L59" s="162">
        <f t="shared" si="18"/>
        <v>0</v>
      </c>
      <c r="M59" s="335"/>
      <c r="N59" s="162">
        <f t="shared" si="19"/>
        <v>0</v>
      </c>
      <c r="O59" s="162">
        <f t="shared" si="20"/>
        <v>0</v>
      </c>
      <c r="P59" s="4"/>
    </row>
    <row r="60" spans="2:16">
      <c r="B60" s="9" t="str">
        <f t="shared" si="21"/>
        <v/>
      </c>
      <c r="C60" s="157">
        <f>IF(D11="","-",+C59+1)</f>
        <v>2053</v>
      </c>
      <c r="D60" s="163">
        <f>IF(F59+SUM(E$17:E59)=D$10,F59,D$10-SUM(E$17:E59))</f>
        <v>1360.3725898497669</v>
      </c>
      <c r="E60" s="164">
        <f>IF(+I14&lt;F59,I14,D60)</f>
        <v>526.11904761904759</v>
      </c>
      <c r="F60" s="163">
        <f t="shared" si="16"/>
        <v>834.25354223071929</v>
      </c>
      <c r="G60" s="165">
        <f t="shared" si="14"/>
        <v>644.63410051710071</v>
      </c>
      <c r="H60" s="147">
        <f t="shared" si="15"/>
        <v>644.63410051710071</v>
      </c>
      <c r="I60" s="160">
        <f t="shared" si="17"/>
        <v>0</v>
      </c>
      <c r="J60" s="160"/>
      <c r="K60" s="335"/>
      <c r="L60" s="162">
        <f t="shared" si="18"/>
        <v>0</v>
      </c>
      <c r="M60" s="335"/>
      <c r="N60" s="162">
        <f t="shared" si="19"/>
        <v>0</v>
      </c>
      <c r="O60" s="162">
        <f t="shared" si="20"/>
        <v>0</v>
      </c>
      <c r="P60" s="4"/>
    </row>
    <row r="61" spans="2:16">
      <c r="B61" s="9" t="str">
        <f t="shared" si="21"/>
        <v/>
      </c>
      <c r="C61" s="157">
        <f>IF(D11="","-",+C60+1)</f>
        <v>2054</v>
      </c>
      <c r="D61" s="163">
        <f>IF(F60+SUM(E$17:E60)=D$10,F60,D$10-SUM(E$17:E60))</f>
        <v>834.25354223071929</v>
      </c>
      <c r="E61" s="164">
        <f>IF(+I14&lt;F60,I14,D61)</f>
        <v>526.11904761904759</v>
      </c>
      <c r="F61" s="163">
        <f t="shared" si="16"/>
        <v>308.1344946116717</v>
      </c>
      <c r="G61" s="165">
        <f t="shared" si="14"/>
        <v>587.81073015092852</v>
      </c>
      <c r="H61" s="147">
        <f t="shared" si="15"/>
        <v>587.81073015092852</v>
      </c>
      <c r="I61" s="160">
        <f t="shared" si="17"/>
        <v>0</v>
      </c>
      <c r="J61" s="160"/>
      <c r="K61" s="335"/>
      <c r="L61" s="162">
        <f t="shared" si="18"/>
        <v>0</v>
      </c>
      <c r="M61" s="335"/>
      <c r="N61" s="162">
        <f t="shared" si="19"/>
        <v>0</v>
      </c>
      <c r="O61" s="162">
        <f t="shared" si="20"/>
        <v>0</v>
      </c>
      <c r="P61" s="4"/>
    </row>
    <row r="62" spans="2:16">
      <c r="B62" s="9" t="str">
        <f t="shared" si="21"/>
        <v/>
      </c>
      <c r="C62" s="157">
        <f>IF(D11="","-",+C61+1)</f>
        <v>2055</v>
      </c>
      <c r="D62" s="163">
        <f>IF(F61+SUM(E$17:E61)=D$10,F61,D$10-SUM(E$17:E61))</f>
        <v>308.1344946116717</v>
      </c>
      <c r="E62" s="164">
        <f>IF(+I14&lt;F61,I14,D62)</f>
        <v>308.1344946116717</v>
      </c>
      <c r="F62" s="163">
        <f t="shared" si="16"/>
        <v>0</v>
      </c>
      <c r="G62" s="165">
        <f t="shared" si="14"/>
        <v>324.77449328606906</v>
      </c>
      <c r="H62" s="147">
        <f t="shared" si="15"/>
        <v>324.77449328606906</v>
      </c>
      <c r="I62" s="160">
        <f t="shared" si="17"/>
        <v>0</v>
      </c>
      <c r="J62" s="160"/>
      <c r="K62" s="335"/>
      <c r="L62" s="162">
        <f t="shared" si="18"/>
        <v>0</v>
      </c>
      <c r="M62" s="335"/>
      <c r="N62" s="162">
        <f t="shared" si="19"/>
        <v>0</v>
      </c>
      <c r="O62" s="162">
        <f t="shared" si="20"/>
        <v>0</v>
      </c>
      <c r="P62" s="4"/>
    </row>
    <row r="63" spans="2:16">
      <c r="B63" s="9" t="str">
        <f t="shared" si="21"/>
        <v/>
      </c>
      <c r="C63" s="157">
        <f>IF(D11="","-",+C62+1)</f>
        <v>2056</v>
      </c>
      <c r="D63" s="163">
        <f>IF(F62+SUM(E$17:E62)=D$10,F62,D$10-SUM(E$17:E62))</f>
        <v>0</v>
      </c>
      <c r="E63" s="164">
        <f>IF(+I14&lt;F62,I14,D63)</f>
        <v>0</v>
      </c>
      <c r="F63" s="163">
        <f t="shared" si="16"/>
        <v>0</v>
      </c>
      <c r="G63" s="165">
        <f t="shared" si="14"/>
        <v>0</v>
      </c>
      <c r="H63" s="147">
        <f t="shared" si="15"/>
        <v>0</v>
      </c>
      <c r="I63" s="160">
        <f t="shared" si="17"/>
        <v>0</v>
      </c>
      <c r="J63" s="160"/>
      <c r="K63" s="335"/>
      <c r="L63" s="162">
        <f t="shared" si="18"/>
        <v>0</v>
      </c>
      <c r="M63" s="335"/>
      <c r="N63" s="162">
        <f t="shared" si="19"/>
        <v>0</v>
      </c>
      <c r="O63" s="162">
        <f t="shared" si="20"/>
        <v>0</v>
      </c>
      <c r="P63" s="4"/>
    </row>
    <row r="64" spans="2:16">
      <c r="B64" s="9" t="str">
        <f t="shared" si="21"/>
        <v/>
      </c>
      <c r="C64" s="157">
        <f>IF(D11="","-",+C63+1)</f>
        <v>2057</v>
      </c>
      <c r="D64" s="163">
        <f>IF(F63+SUM(E$17:E63)=D$10,F63,D$10-SUM(E$17:E63))</f>
        <v>0</v>
      </c>
      <c r="E64" s="164">
        <f>IF(+I14&lt;F63,I14,D64)</f>
        <v>0</v>
      </c>
      <c r="F64" s="163">
        <f t="shared" si="16"/>
        <v>0</v>
      </c>
      <c r="G64" s="165">
        <f t="shared" si="14"/>
        <v>0</v>
      </c>
      <c r="H64" s="147">
        <f t="shared" si="15"/>
        <v>0</v>
      </c>
      <c r="I64" s="160">
        <f t="shared" si="17"/>
        <v>0</v>
      </c>
      <c r="J64" s="160"/>
      <c r="K64" s="335"/>
      <c r="L64" s="162">
        <f t="shared" si="18"/>
        <v>0</v>
      </c>
      <c r="M64" s="335"/>
      <c r="N64" s="162">
        <f t="shared" si="19"/>
        <v>0</v>
      </c>
      <c r="O64" s="162">
        <f t="shared" si="20"/>
        <v>0</v>
      </c>
      <c r="P64" s="4"/>
    </row>
    <row r="65" spans="2:16">
      <c r="B65" s="9" t="str">
        <f t="shared" si="21"/>
        <v/>
      </c>
      <c r="C65" s="157">
        <f>IF(D11="","-",+C64+1)</f>
        <v>2058</v>
      </c>
      <c r="D65" s="163">
        <f>IF(F64+SUM(E$17:E64)=D$10,F64,D$10-SUM(E$17:E64))</f>
        <v>0</v>
      </c>
      <c r="E65" s="164">
        <f>IF(+I14&lt;F64,I14,D65)</f>
        <v>0</v>
      </c>
      <c r="F65" s="163">
        <f t="shared" si="16"/>
        <v>0</v>
      </c>
      <c r="G65" s="165">
        <f t="shared" si="14"/>
        <v>0</v>
      </c>
      <c r="H65" s="147">
        <f t="shared" si="15"/>
        <v>0</v>
      </c>
      <c r="I65" s="160">
        <f t="shared" si="17"/>
        <v>0</v>
      </c>
      <c r="J65" s="160"/>
      <c r="K65" s="335"/>
      <c r="L65" s="162">
        <f t="shared" si="18"/>
        <v>0</v>
      </c>
      <c r="M65" s="335"/>
      <c r="N65" s="162">
        <f t="shared" si="19"/>
        <v>0</v>
      </c>
      <c r="O65" s="162">
        <f t="shared" si="20"/>
        <v>0</v>
      </c>
      <c r="P65" s="4"/>
    </row>
    <row r="66" spans="2:16">
      <c r="B66" s="9" t="str">
        <f t="shared" si="21"/>
        <v/>
      </c>
      <c r="C66" s="157">
        <f>IF(D11="","-",+C65+1)</f>
        <v>2059</v>
      </c>
      <c r="D66" s="163">
        <f>IF(F65+SUM(E$17:E65)=D$10,F65,D$10-SUM(E$17:E65))</f>
        <v>0</v>
      </c>
      <c r="E66" s="164">
        <f>IF(+I14&lt;F65,I14,D66)</f>
        <v>0</v>
      </c>
      <c r="F66" s="163">
        <f t="shared" si="16"/>
        <v>0</v>
      </c>
      <c r="G66" s="165">
        <f t="shared" si="14"/>
        <v>0</v>
      </c>
      <c r="H66" s="147">
        <f t="shared" si="15"/>
        <v>0</v>
      </c>
      <c r="I66" s="160">
        <f t="shared" si="17"/>
        <v>0</v>
      </c>
      <c r="J66" s="160"/>
      <c r="K66" s="335"/>
      <c r="L66" s="162">
        <f t="shared" si="18"/>
        <v>0</v>
      </c>
      <c r="M66" s="335"/>
      <c r="N66" s="162">
        <f t="shared" si="19"/>
        <v>0</v>
      </c>
      <c r="O66" s="162">
        <f t="shared" si="20"/>
        <v>0</v>
      </c>
      <c r="P66" s="4"/>
    </row>
    <row r="67" spans="2:16">
      <c r="B67" s="9" t="str">
        <f t="shared" si="21"/>
        <v/>
      </c>
      <c r="C67" s="157">
        <f>IF(D11="","-",+C66+1)</f>
        <v>2060</v>
      </c>
      <c r="D67" s="163">
        <f>IF(F66+SUM(E$17:E66)=D$10,F66,D$10-SUM(E$17:E66))</f>
        <v>0</v>
      </c>
      <c r="E67" s="164">
        <f>IF(+I14&lt;F66,I14,D67)</f>
        <v>0</v>
      </c>
      <c r="F67" s="163">
        <f t="shared" si="16"/>
        <v>0</v>
      </c>
      <c r="G67" s="165">
        <f t="shared" si="14"/>
        <v>0</v>
      </c>
      <c r="H67" s="147">
        <f t="shared" si="15"/>
        <v>0</v>
      </c>
      <c r="I67" s="160">
        <f t="shared" si="17"/>
        <v>0</v>
      </c>
      <c r="J67" s="160"/>
      <c r="K67" s="335"/>
      <c r="L67" s="162">
        <f t="shared" si="18"/>
        <v>0</v>
      </c>
      <c r="M67" s="335"/>
      <c r="N67" s="162">
        <f t="shared" si="19"/>
        <v>0</v>
      </c>
      <c r="O67" s="162">
        <f t="shared" si="20"/>
        <v>0</v>
      </c>
      <c r="P67" s="4"/>
    </row>
    <row r="68" spans="2:16">
      <c r="B68" s="9" t="str">
        <f t="shared" si="21"/>
        <v/>
      </c>
      <c r="C68" s="157">
        <f>IF(D11="","-",+C67+1)</f>
        <v>2061</v>
      </c>
      <c r="D68" s="163">
        <f>IF(F67+SUM(E$17:E67)=D$10,F67,D$10-SUM(E$17:E67))</f>
        <v>0</v>
      </c>
      <c r="E68" s="164">
        <f>IF(+I14&lt;F67,I14,D68)</f>
        <v>0</v>
      </c>
      <c r="F68" s="163">
        <f t="shared" si="16"/>
        <v>0</v>
      </c>
      <c r="G68" s="165">
        <f t="shared" si="14"/>
        <v>0</v>
      </c>
      <c r="H68" s="147">
        <f t="shared" si="15"/>
        <v>0</v>
      </c>
      <c r="I68" s="160">
        <f t="shared" si="17"/>
        <v>0</v>
      </c>
      <c r="J68" s="160"/>
      <c r="K68" s="335"/>
      <c r="L68" s="162">
        <f t="shared" si="18"/>
        <v>0</v>
      </c>
      <c r="M68" s="335"/>
      <c r="N68" s="162">
        <f t="shared" si="19"/>
        <v>0</v>
      </c>
      <c r="O68" s="162">
        <f t="shared" si="20"/>
        <v>0</v>
      </c>
      <c r="P68" s="4"/>
    </row>
    <row r="69" spans="2:16">
      <c r="B69" s="9" t="str">
        <f t="shared" si="21"/>
        <v/>
      </c>
      <c r="C69" s="157">
        <f>IF(D11="","-",+C68+1)</f>
        <v>2062</v>
      </c>
      <c r="D69" s="163">
        <f>IF(F68+SUM(E$17:E68)=D$10,F68,D$10-SUM(E$17:E68))</f>
        <v>0</v>
      </c>
      <c r="E69" s="164">
        <f>IF(+I14&lt;F68,I14,D69)</f>
        <v>0</v>
      </c>
      <c r="F69" s="163">
        <f t="shared" si="16"/>
        <v>0</v>
      </c>
      <c r="G69" s="165">
        <f t="shared" si="14"/>
        <v>0</v>
      </c>
      <c r="H69" s="147">
        <f t="shared" si="15"/>
        <v>0</v>
      </c>
      <c r="I69" s="160">
        <f t="shared" si="17"/>
        <v>0</v>
      </c>
      <c r="J69" s="160"/>
      <c r="K69" s="335"/>
      <c r="L69" s="162">
        <f t="shared" si="18"/>
        <v>0</v>
      </c>
      <c r="M69" s="335"/>
      <c r="N69" s="162">
        <f t="shared" si="19"/>
        <v>0</v>
      </c>
      <c r="O69" s="162">
        <f t="shared" si="20"/>
        <v>0</v>
      </c>
      <c r="P69" s="4"/>
    </row>
    <row r="70" spans="2:16">
      <c r="B70" s="9" t="str">
        <f t="shared" si="21"/>
        <v/>
      </c>
      <c r="C70" s="157">
        <f>IF(D11="","-",+C69+1)</f>
        <v>2063</v>
      </c>
      <c r="D70" s="163">
        <f>IF(F69+SUM(E$17:E69)=D$10,F69,D$10-SUM(E$17:E69))</f>
        <v>0</v>
      </c>
      <c r="E70" s="164">
        <f>IF(+I14&lt;F69,I14,D70)</f>
        <v>0</v>
      </c>
      <c r="F70" s="163">
        <f t="shared" si="16"/>
        <v>0</v>
      </c>
      <c r="G70" s="165">
        <f t="shared" si="14"/>
        <v>0</v>
      </c>
      <c r="H70" s="147">
        <f t="shared" si="15"/>
        <v>0</v>
      </c>
      <c r="I70" s="160">
        <f t="shared" si="17"/>
        <v>0</v>
      </c>
      <c r="J70" s="160"/>
      <c r="K70" s="335"/>
      <c r="L70" s="162">
        <f t="shared" si="18"/>
        <v>0</v>
      </c>
      <c r="M70" s="335"/>
      <c r="N70" s="162">
        <f t="shared" si="19"/>
        <v>0</v>
      </c>
      <c r="O70" s="162">
        <f t="shared" si="20"/>
        <v>0</v>
      </c>
      <c r="P70" s="4"/>
    </row>
    <row r="71" spans="2:16">
      <c r="B71" s="9" t="str">
        <f t="shared" si="21"/>
        <v/>
      </c>
      <c r="C71" s="157">
        <f>IF(D11="","-",+C70+1)</f>
        <v>2064</v>
      </c>
      <c r="D71" s="163">
        <f>IF(F70+SUM(E$17:E70)=D$10,F70,D$10-SUM(E$17:E70))</f>
        <v>0</v>
      </c>
      <c r="E71" s="164">
        <f>IF(+I14&lt;F70,I14,D71)</f>
        <v>0</v>
      </c>
      <c r="F71" s="163">
        <f t="shared" si="16"/>
        <v>0</v>
      </c>
      <c r="G71" s="165">
        <f t="shared" si="14"/>
        <v>0</v>
      </c>
      <c r="H71" s="147">
        <f t="shared" si="15"/>
        <v>0</v>
      </c>
      <c r="I71" s="160">
        <f t="shared" si="17"/>
        <v>0</v>
      </c>
      <c r="J71" s="160"/>
      <c r="K71" s="335"/>
      <c r="L71" s="162">
        <f t="shared" si="18"/>
        <v>0</v>
      </c>
      <c r="M71" s="335"/>
      <c r="N71" s="162">
        <f t="shared" si="19"/>
        <v>0</v>
      </c>
      <c r="O71" s="162">
        <f t="shared" si="20"/>
        <v>0</v>
      </c>
      <c r="P71" s="4"/>
    </row>
    <row r="72" spans="2:16" ht="13.5" thickBot="1">
      <c r="B72" s="9" t="str">
        <f t="shared" si="21"/>
        <v/>
      </c>
      <c r="C72" s="168">
        <f>IF(D11="","-",+C71+1)</f>
        <v>2065</v>
      </c>
      <c r="D72" s="169">
        <f>IF(F71+SUM(E$17:E71)=D$10,F71,D$10-SUM(E$17:E71))</f>
        <v>0</v>
      </c>
      <c r="E72" s="170">
        <f>IF(+I14&lt;F71,I14,D72)</f>
        <v>0</v>
      </c>
      <c r="F72" s="169">
        <f t="shared" si="16"/>
        <v>0</v>
      </c>
      <c r="G72" s="169">
        <f t="shared" si="14"/>
        <v>0</v>
      </c>
      <c r="H72" s="169">
        <f t="shared" si="15"/>
        <v>0</v>
      </c>
      <c r="I72" s="172">
        <f t="shared" si="17"/>
        <v>0</v>
      </c>
      <c r="J72" s="160"/>
      <c r="K72" s="336"/>
      <c r="L72" s="173">
        <f t="shared" si="18"/>
        <v>0</v>
      </c>
      <c r="M72" s="336"/>
      <c r="N72" s="173">
        <f t="shared" si="19"/>
        <v>0</v>
      </c>
      <c r="O72" s="173">
        <f t="shared" si="20"/>
        <v>0</v>
      </c>
      <c r="P72" s="4"/>
    </row>
    <row r="73" spans="2:16">
      <c r="C73" s="158" t="s">
        <v>72</v>
      </c>
      <c r="D73" s="115"/>
      <c r="E73" s="115">
        <f>SUM(E17:E72)</f>
        <v>22096.999999999989</v>
      </c>
      <c r="F73" s="115"/>
      <c r="G73" s="115">
        <f>SUM(G17:G72)</f>
        <v>80220.228039077556</v>
      </c>
      <c r="H73" s="115">
        <f>SUM(H17:H72)</f>
        <v>80220.228039077556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13 of 28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2018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3091.0444444444443</v>
      </c>
      <c r="N87" s="202">
        <f>IF(J92&lt;D11,0,VLOOKUP(J92,C17:O72,11))</f>
        <v>3091.0444444444443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2506.299479691007</v>
      </c>
      <c r="N88" s="204">
        <f>IF(J92&lt;D11,0,VLOOKUP(J92,C99:P154,7))</f>
        <v>2506.299479691007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CoffeyvilleT to Dearing 138 kv Rebuild - 1.1 mi*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-584.74496475343722</v>
      </c>
      <c r="N89" s="207">
        <f>+N88-N87</f>
        <v>-584.74496475343722</v>
      </c>
      <c r="O89" s="208">
        <f>+O88-O87</f>
        <v>0</v>
      </c>
      <c r="P89" s="1"/>
    </row>
    <row r="90" spans="1:16" ht="13.5" thickBot="1">
      <c r="C90" s="174"/>
      <c r="D90" s="177" t="str">
        <f>D8</f>
        <v>DOES NOT MEET SPP $100,000 MINIMUM INVESTMENT FOR REGIONAL BPU SHARING.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 t="str">
        <f>+D9</f>
        <v>TP2008013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138">
        <v>22097</v>
      </c>
      <c r="E92" s="22" t="s">
        <v>89</v>
      </c>
      <c r="H92" s="139"/>
      <c r="I92" s="139"/>
      <c r="J92" s="140">
        <f>+'PSO.WS.G.BPU.ATRR.True-up'!M16</f>
        <v>2018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2010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6</v>
      </c>
      <c r="E94" s="141" t="s">
        <v>51</v>
      </c>
      <c r="F94" s="139"/>
      <c r="G94" s="139"/>
      <c r="J94" s="145">
        <f>'PSO.WS.G.BPU.ATRR.True-up'!$F$81</f>
        <v>0.10273556682691798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43</v>
      </c>
      <c r="E95" s="141" t="s">
        <v>54</v>
      </c>
      <c r="F95" s="139"/>
      <c r="G95" s="139"/>
      <c r="J95" s="145">
        <f>IF(H87="",J94,'PSO.WS.G.BPU.ATRR.True-up'!$F$80)</f>
        <v>0.10273556682691798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514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277</v>
      </c>
      <c r="I97" s="339" t="s">
        <v>278</v>
      </c>
      <c r="J97" s="214" t="s">
        <v>93</v>
      </c>
      <c r="K97" s="216"/>
      <c r="L97" s="151" t="s">
        <v>97</v>
      </c>
      <c r="M97" s="151" t="s">
        <v>94</v>
      </c>
      <c r="N97" s="151" t="s">
        <v>97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409">
        <f>D93</f>
        <v>2010</v>
      </c>
      <c r="D99" s="410">
        <v>0</v>
      </c>
      <c r="E99" s="412">
        <v>0</v>
      </c>
      <c r="F99" s="412">
        <v>0</v>
      </c>
      <c r="G99" s="412">
        <v>0</v>
      </c>
      <c r="H99" s="413">
        <v>0</v>
      </c>
      <c r="I99" s="412">
        <v>0</v>
      </c>
      <c r="J99" s="414">
        <v>0</v>
      </c>
      <c r="K99" s="162"/>
      <c r="L99" s="384">
        <f t="shared" ref="L99:L104" si="22">H99</f>
        <v>0</v>
      </c>
      <c r="M99" s="385">
        <f t="shared" ref="M99:M104" si="23">IF(L99&lt;&gt;0,+H99-L99,0)</f>
        <v>0</v>
      </c>
      <c r="N99" s="384">
        <f t="shared" ref="N99:N104" si="24">I99</f>
        <v>0</v>
      </c>
      <c r="O99" s="161">
        <f t="shared" ref="O99:O104" si="25">IF(N99&lt;&gt;0,+I99-N99,0)</f>
        <v>0</v>
      </c>
      <c r="P99" s="161">
        <f t="shared" ref="P99:P104" si="26">+O99-M99</f>
        <v>0</v>
      </c>
    </row>
    <row r="100" spans="1:16">
      <c r="C100" s="157">
        <f>IF(D91="","-",+C99+1)</f>
        <v>2011</v>
      </c>
      <c r="D100" s="411">
        <v>0</v>
      </c>
      <c r="E100" s="415">
        <v>0</v>
      </c>
      <c r="F100" s="415">
        <v>0</v>
      </c>
      <c r="G100" s="415">
        <v>0</v>
      </c>
      <c r="H100" s="416">
        <v>0</v>
      </c>
      <c r="I100" s="415">
        <v>0</v>
      </c>
      <c r="J100" s="417">
        <v>0</v>
      </c>
      <c r="K100" s="162"/>
      <c r="L100" s="380">
        <f t="shared" si="22"/>
        <v>0</v>
      </c>
      <c r="M100" s="381">
        <f t="shared" si="23"/>
        <v>0</v>
      </c>
      <c r="N100" s="380">
        <f t="shared" si="24"/>
        <v>0</v>
      </c>
      <c r="O100" s="162">
        <f t="shared" si="25"/>
        <v>0</v>
      </c>
      <c r="P100" s="162">
        <f t="shared" si="26"/>
        <v>0</v>
      </c>
    </row>
    <row r="101" spans="1:16">
      <c r="C101" s="157">
        <f>IF(D92="","-",+C100+1)</f>
        <v>2012</v>
      </c>
      <c r="D101" s="419">
        <v>22097</v>
      </c>
      <c r="E101" s="420">
        <v>212.5</v>
      </c>
      <c r="F101" s="421">
        <v>21884.5</v>
      </c>
      <c r="G101" s="421">
        <v>21990.75</v>
      </c>
      <c r="H101" s="422">
        <v>3375.9899363381005</v>
      </c>
      <c r="I101" s="423">
        <v>3375.9899363381005</v>
      </c>
      <c r="J101" s="162">
        <v>0</v>
      </c>
      <c r="K101" s="162"/>
      <c r="L101" s="380">
        <f t="shared" si="22"/>
        <v>3375.9899363381005</v>
      </c>
      <c r="M101" s="381">
        <f t="shared" si="23"/>
        <v>0</v>
      </c>
      <c r="N101" s="380">
        <f t="shared" si="24"/>
        <v>3375.9899363381005</v>
      </c>
      <c r="O101" s="162">
        <f t="shared" si="25"/>
        <v>0</v>
      </c>
      <c r="P101" s="162">
        <f t="shared" si="26"/>
        <v>0</v>
      </c>
    </row>
    <row r="102" spans="1:16">
      <c r="B102" s="9" t="str">
        <f t="shared" ref="B102:B133" si="27">IF(D102=F101,"","IU")</f>
        <v/>
      </c>
      <c r="C102" s="157">
        <f>IF(D93="","-",+C101+1)</f>
        <v>2013</v>
      </c>
      <c r="D102" s="419">
        <v>21884.5</v>
      </c>
      <c r="E102" s="420">
        <v>425</v>
      </c>
      <c r="F102" s="421">
        <v>21459.5</v>
      </c>
      <c r="G102" s="421">
        <v>21672</v>
      </c>
      <c r="H102" s="422">
        <v>3544.458879858515</v>
      </c>
      <c r="I102" s="423">
        <v>3544.458879858515</v>
      </c>
      <c r="J102" s="162">
        <v>0</v>
      </c>
      <c r="K102" s="162"/>
      <c r="L102" s="380">
        <f t="shared" si="22"/>
        <v>3544.458879858515</v>
      </c>
      <c r="M102" s="381">
        <f t="shared" si="23"/>
        <v>0</v>
      </c>
      <c r="N102" s="380">
        <f t="shared" si="24"/>
        <v>3544.458879858515</v>
      </c>
      <c r="O102" s="162">
        <f t="shared" si="25"/>
        <v>0</v>
      </c>
      <c r="P102" s="162">
        <f t="shared" si="26"/>
        <v>0</v>
      </c>
    </row>
    <row r="103" spans="1:16">
      <c r="B103" s="9" t="str">
        <f t="shared" si="27"/>
        <v/>
      </c>
      <c r="C103" s="157">
        <f>IF(D93="","-",+C102+1)</f>
        <v>2014</v>
      </c>
      <c r="D103" s="419">
        <v>21459.5</v>
      </c>
      <c r="E103" s="420">
        <v>425</v>
      </c>
      <c r="F103" s="421">
        <v>21034.5</v>
      </c>
      <c r="G103" s="421">
        <v>21247</v>
      </c>
      <c r="H103" s="422">
        <v>3412.2413474199548</v>
      </c>
      <c r="I103" s="423">
        <v>3412.2413474199548</v>
      </c>
      <c r="J103" s="162">
        <v>0</v>
      </c>
      <c r="K103" s="162"/>
      <c r="L103" s="380">
        <f t="shared" si="22"/>
        <v>3412.2413474199548</v>
      </c>
      <c r="M103" s="381">
        <f t="shared" si="23"/>
        <v>0</v>
      </c>
      <c r="N103" s="380">
        <f t="shared" si="24"/>
        <v>3412.2413474199548</v>
      </c>
      <c r="O103" s="162">
        <f t="shared" si="25"/>
        <v>0</v>
      </c>
      <c r="P103" s="162">
        <f t="shared" si="26"/>
        <v>0</v>
      </c>
    </row>
    <row r="104" spans="1:16">
      <c r="B104" s="9" t="str">
        <f t="shared" si="27"/>
        <v/>
      </c>
      <c r="C104" s="157">
        <f>IF(D93="","-",+C103+1)</f>
        <v>2015</v>
      </c>
      <c r="D104" s="419">
        <v>21034.5</v>
      </c>
      <c r="E104" s="420">
        <v>425</v>
      </c>
      <c r="F104" s="421">
        <v>20609.5</v>
      </c>
      <c r="G104" s="421">
        <v>20822</v>
      </c>
      <c r="H104" s="422">
        <v>3265.9944828697971</v>
      </c>
      <c r="I104" s="423">
        <v>3265.9944828697971</v>
      </c>
      <c r="J104" s="162">
        <f t="shared" ref="J104:J132" si="28">+I104-H104</f>
        <v>0</v>
      </c>
      <c r="K104" s="162"/>
      <c r="L104" s="380">
        <f t="shared" si="22"/>
        <v>3265.9944828697971</v>
      </c>
      <c r="M104" s="381">
        <f t="shared" si="23"/>
        <v>0</v>
      </c>
      <c r="N104" s="380">
        <f t="shared" si="24"/>
        <v>3265.9944828697971</v>
      </c>
      <c r="O104" s="162">
        <f t="shared" si="25"/>
        <v>0</v>
      </c>
      <c r="P104" s="162">
        <f t="shared" si="26"/>
        <v>0</v>
      </c>
    </row>
    <row r="105" spans="1:16">
      <c r="B105" s="9" t="str">
        <f t="shared" si="27"/>
        <v/>
      </c>
      <c r="C105" s="157">
        <f>IF(D93="","-",+C104+1)</f>
        <v>2016</v>
      </c>
      <c r="D105" s="419">
        <v>20609.5</v>
      </c>
      <c r="E105" s="420">
        <v>480</v>
      </c>
      <c r="F105" s="421">
        <v>20129.5</v>
      </c>
      <c r="G105" s="421">
        <v>20369.5</v>
      </c>
      <c r="H105" s="422">
        <v>3105.9493466960757</v>
      </c>
      <c r="I105" s="423">
        <v>3105.9493466960757</v>
      </c>
      <c r="J105" s="162">
        <v>0</v>
      </c>
      <c r="K105" s="162"/>
      <c r="L105" s="380">
        <f>H105</f>
        <v>3105.9493466960757</v>
      </c>
      <c r="M105" s="381">
        <f>IF(L105&lt;&gt;0,+H105-L105,0)</f>
        <v>0</v>
      </c>
      <c r="N105" s="380">
        <f>I105</f>
        <v>3105.9493466960757</v>
      </c>
      <c r="O105" s="162">
        <f>IF(N105&lt;&gt;0,+I105-N105,0)</f>
        <v>0</v>
      </c>
      <c r="P105" s="162">
        <f>+O105-M105</f>
        <v>0</v>
      </c>
    </row>
    <row r="106" spans="1:16">
      <c r="B106" s="9" t="str">
        <f t="shared" si="27"/>
        <v/>
      </c>
      <c r="C106" s="157">
        <f>IF(D93="","-",+C105+1)</f>
        <v>2017</v>
      </c>
      <c r="D106" s="419">
        <v>20129.5</v>
      </c>
      <c r="E106" s="420">
        <v>480</v>
      </c>
      <c r="F106" s="421">
        <v>19649.5</v>
      </c>
      <c r="G106" s="421">
        <v>19889.5</v>
      </c>
      <c r="H106" s="422">
        <v>3003.0332263920673</v>
      </c>
      <c r="I106" s="423">
        <v>3003.0332263920673</v>
      </c>
      <c r="J106" s="162">
        <f t="shared" si="28"/>
        <v>0</v>
      </c>
      <c r="K106" s="162"/>
      <c r="L106" s="380">
        <f>H106</f>
        <v>3003.0332263920673</v>
      </c>
      <c r="M106" s="381">
        <f>IF(L106&lt;&gt;0,+H106-L106,0)</f>
        <v>0</v>
      </c>
      <c r="N106" s="380">
        <f>I106</f>
        <v>3003.0332263920673</v>
      </c>
      <c r="O106" s="162">
        <f>IF(N106&lt;&gt;0,+I106-N106,0)</f>
        <v>0</v>
      </c>
      <c r="P106" s="162">
        <f>+O106-M106</f>
        <v>0</v>
      </c>
    </row>
    <row r="107" spans="1:16">
      <c r="B107" s="9" t="str">
        <f t="shared" si="27"/>
        <v/>
      </c>
      <c r="C107" s="157">
        <f>IF(D93="","-",+C106+1)</f>
        <v>2018</v>
      </c>
      <c r="D107" s="158">
        <f>IF(F106+SUM(E$101:E106)=D$92,F106,D$92-SUM(E$101:E106))</f>
        <v>19649.5</v>
      </c>
      <c r="E107" s="164">
        <f>IF(+J96&lt;F106,J96,D107)</f>
        <v>514</v>
      </c>
      <c r="F107" s="163">
        <f t="shared" ref="F107:F133" si="29">+D107-E107</f>
        <v>19135.5</v>
      </c>
      <c r="G107" s="163">
        <f t="shared" ref="G107:G132" si="30">+(F107+D107)/2</f>
        <v>19392.5</v>
      </c>
      <c r="H107" s="167">
        <f t="shared" ref="H107:H132" si="31">+J$94*G107+E107</f>
        <v>2506.299479691007</v>
      </c>
      <c r="I107" s="317">
        <f t="shared" ref="I107:I132" si="32">+J$95*G107+E107</f>
        <v>2506.299479691007</v>
      </c>
      <c r="J107" s="162">
        <f t="shared" si="28"/>
        <v>0</v>
      </c>
      <c r="K107" s="162"/>
      <c r="L107" s="335"/>
      <c r="M107" s="162">
        <f t="shared" ref="M107:M130" si="33">IF(L107&lt;&gt;0,+H109-L107,0)</f>
        <v>0</v>
      </c>
      <c r="N107" s="335"/>
      <c r="O107" s="162">
        <f t="shared" ref="O107:O130" si="34">IF(N107&lt;&gt;0,+I109-N107,0)</f>
        <v>0</v>
      </c>
      <c r="P107" s="162">
        <f t="shared" ref="P107:P130" si="35">+O107-M107</f>
        <v>0</v>
      </c>
    </row>
    <row r="108" spans="1:16">
      <c r="B108" s="9" t="str">
        <f t="shared" si="27"/>
        <v/>
      </c>
      <c r="C108" s="157">
        <f>IF(D93="","-",+C107+1)</f>
        <v>2019</v>
      </c>
      <c r="D108" s="158">
        <f>IF(F107+SUM(E$101:E107)=D$92,F107,D$92-SUM(E$101:E107))</f>
        <v>19135.5</v>
      </c>
      <c r="E108" s="164">
        <f>IF(+J96&lt;F107,J96,D108)</f>
        <v>514</v>
      </c>
      <c r="F108" s="163">
        <f t="shared" si="29"/>
        <v>18621.5</v>
      </c>
      <c r="G108" s="163">
        <f t="shared" si="30"/>
        <v>18878.5</v>
      </c>
      <c r="H108" s="167">
        <f t="shared" si="31"/>
        <v>2453.493398341971</v>
      </c>
      <c r="I108" s="317">
        <f t="shared" si="32"/>
        <v>2453.493398341971</v>
      </c>
      <c r="J108" s="162">
        <f t="shared" si="28"/>
        <v>0</v>
      </c>
      <c r="K108" s="162"/>
      <c r="L108" s="335"/>
      <c r="M108" s="162">
        <f t="shared" si="33"/>
        <v>0</v>
      </c>
      <c r="N108" s="335"/>
      <c r="O108" s="162">
        <f t="shared" si="34"/>
        <v>0</v>
      </c>
      <c r="P108" s="162">
        <f t="shared" si="35"/>
        <v>0</v>
      </c>
    </row>
    <row r="109" spans="1:16">
      <c r="B109" s="9" t="str">
        <f t="shared" si="27"/>
        <v/>
      </c>
      <c r="C109" s="157">
        <f>IF(D93="","-",+C108+1)</f>
        <v>2020</v>
      </c>
      <c r="D109" s="158">
        <f>IF(F108+SUM(E$101:E108)=D$92,F108,D$92-SUM(E$101:E108))</f>
        <v>18621.5</v>
      </c>
      <c r="E109" s="165">
        <f>IF(+J96&lt;F108,J96,D109)</f>
        <v>514</v>
      </c>
      <c r="F109" s="163">
        <f t="shared" si="29"/>
        <v>18107.5</v>
      </c>
      <c r="G109" s="163">
        <f t="shared" si="30"/>
        <v>18364.5</v>
      </c>
      <c r="H109" s="167">
        <f t="shared" si="31"/>
        <v>2400.6873169929349</v>
      </c>
      <c r="I109" s="317">
        <f t="shared" si="32"/>
        <v>2400.6873169929349</v>
      </c>
      <c r="J109" s="162">
        <f t="shared" si="28"/>
        <v>0</v>
      </c>
      <c r="K109" s="162"/>
      <c r="L109" s="335"/>
      <c r="M109" s="162">
        <f t="shared" si="33"/>
        <v>0</v>
      </c>
      <c r="N109" s="335"/>
      <c r="O109" s="162">
        <f t="shared" si="34"/>
        <v>0</v>
      </c>
      <c r="P109" s="162">
        <f t="shared" si="35"/>
        <v>0</v>
      </c>
    </row>
    <row r="110" spans="1:16">
      <c r="B110" s="9" t="str">
        <f t="shared" si="27"/>
        <v/>
      </c>
      <c r="C110" s="157">
        <f>IF(D93="","-",+C109+1)</f>
        <v>2021</v>
      </c>
      <c r="D110" s="158">
        <f>IF(F109+SUM(E$101:E109)=D$92,F109,D$92-SUM(E$101:E109))</f>
        <v>18107.5</v>
      </c>
      <c r="E110" s="165">
        <f>IF(+J96&lt;F109,J96,D110)</f>
        <v>514</v>
      </c>
      <c r="F110" s="163">
        <f t="shared" si="29"/>
        <v>17593.5</v>
      </c>
      <c r="G110" s="163">
        <f t="shared" si="30"/>
        <v>17850.5</v>
      </c>
      <c r="H110" s="167">
        <f t="shared" si="31"/>
        <v>2347.8812356438993</v>
      </c>
      <c r="I110" s="317">
        <f t="shared" si="32"/>
        <v>2347.8812356438993</v>
      </c>
      <c r="J110" s="162">
        <f t="shared" si="28"/>
        <v>0</v>
      </c>
      <c r="K110" s="162"/>
      <c r="L110" s="335"/>
      <c r="M110" s="162">
        <f t="shared" si="33"/>
        <v>0</v>
      </c>
      <c r="N110" s="335"/>
      <c r="O110" s="162">
        <f t="shared" si="34"/>
        <v>0</v>
      </c>
      <c r="P110" s="162">
        <f t="shared" si="35"/>
        <v>0</v>
      </c>
    </row>
    <row r="111" spans="1:16">
      <c r="B111" s="9" t="str">
        <f t="shared" si="27"/>
        <v/>
      </c>
      <c r="C111" s="157">
        <f>IF(D93="","-",+C110+1)</f>
        <v>2022</v>
      </c>
      <c r="D111" s="158">
        <f>IF(F110+SUM(E$101:E110)=D$92,F110,D$92-SUM(E$101:E110))</f>
        <v>17593.5</v>
      </c>
      <c r="E111" s="165">
        <f>IF(+J96&lt;F110,J96,D111)</f>
        <v>514</v>
      </c>
      <c r="F111" s="163">
        <f t="shared" si="29"/>
        <v>17079.5</v>
      </c>
      <c r="G111" s="163">
        <f t="shared" si="30"/>
        <v>17336.5</v>
      </c>
      <c r="H111" s="167">
        <f t="shared" si="31"/>
        <v>2295.0751542948638</v>
      </c>
      <c r="I111" s="317">
        <f t="shared" si="32"/>
        <v>2295.0751542948638</v>
      </c>
      <c r="J111" s="162">
        <f t="shared" si="28"/>
        <v>0</v>
      </c>
      <c r="K111" s="162"/>
      <c r="L111" s="335"/>
      <c r="M111" s="162">
        <f t="shared" si="33"/>
        <v>0</v>
      </c>
      <c r="N111" s="335"/>
      <c r="O111" s="162">
        <f t="shared" si="34"/>
        <v>0</v>
      </c>
      <c r="P111" s="162">
        <f t="shared" si="35"/>
        <v>0</v>
      </c>
    </row>
    <row r="112" spans="1:16">
      <c r="B112" s="9" t="str">
        <f t="shared" si="27"/>
        <v/>
      </c>
      <c r="C112" s="157">
        <f>IF(D93="","-",+C111+1)</f>
        <v>2023</v>
      </c>
      <c r="D112" s="158">
        <f>IF(F111+SUM(E$101:E111)=D$92,F111,D$92-SUM(E$101:E111))</f>
        <v>17079.5</v>
      </c>
      <c r="E112" s="165">
        <f>IF(+J96&lt;F111,J96,D112)</f>
        <v>514</v>
      </c>
      <c r="F112" s="163">
        <f t="shared" si="29"/>
        <v>16565.5</v>
      </c>
      <c r="G112" s="163">
        <f t="shared" si="30"/>
        <v>16822.5</v>
      </c>
      <c r="H112" s="167">
        <f t="shared" si="31"/>
        <v>2242.2690729458277</v>
      </c>
      <c r="I112" s="317">
        <f t="shared" si="32"/>
        <v>2242.2690729458277</v>
      </c>
      <c r="J112" s="162">
        <f t="shared" si="28"/>
        <v>0</v>
      </c>
      <c r="K112" s="162"/>
      <c r="L112" s="335"/>
      <c r="M112" s="162">
        <f t="shared" si="33"/>
        <v>0</v>
      </c>
      <c r="N112" s="335"/>
      <c r="O112" s="162">
        <f t="shared" si="34"/>
        <v>0</v>
      </c>
      <c r="P112" s="162">
        <f t="shared" si="35"/>
        <v>0</v>
      </c>
    </row>
    <row r="113" spans="2:16">
      <c r="B113" s="9" t="str">
        <f t="shared" si="27"/>
        <v/>
      </c>
      <c r="C113" s="157">
        <f>IF(D93="","-",+C112+1)</f>
        <v>2024</v>
      </c>
      <c r="D113" s="158">
        <f>IF(F112+SUM(E$101:E112)=D$92,F112,D$92-SUM(E$101:E112))</f>
        <v>16565.5</v>
      </c>
      <c r="E113" s="165">
        <f>IF(+J96&lt;F112,J96,D113)</f>
        <v>514</v>
      </c>
      <c r="F113" s="163">
        <f t="shared" si="29"/>
        <v>16051.5</v>
      </c>
      <c r="G113" s="163">
        <f t="shared" si="30"/>
        <v>16308.5</v>
      </c>
      <c r="H113" s="167">
        <f t="shared" si="31"/>
        <v>2189.4629915967917</v>
      </c>
      <c r="I113" s="317">
        <f t="shared" si="32"/>
        <v>2189.4629915967917</v>
      </c>
      <c r="J113" s="162">
        <f t="shared" si="28"/>
        <v>0</v>
      </c>
      <c r="K113" s="162"/>
      <c r="L113" s="335"/>
      <c r="M113" s="162">
        <f t="shared" si="33"/>
        <v>0</v>
      </c>
      <c r="N113" s="335"/>
      <c r="O113" s="162">
        <f t="shared" si="34"/>
        <v>0</v>
      </c>
      <c r="P113" s="162">
        <f t="shared" si="35"/>
        <v>0</v>
      </c>
    </row>
    <row r="114" spans="2:16">
      <c r="B114" s="9" t="str">
        <f t="shared" si="27"/>
        <v/>
      </c>
      <c r="C114" s="157">
        <f>IF(D93="","-",+C113+1)</f>
        <v>2025</v>
      </c>
      <c r="D114" s="158">
        <f>IF(F113+SUM(E$101:E113)=D$92,F113,D$92-SUM(E$101:E113))</f>
        <v>16051.5</v>
      </c>
      <c r="E114" s="165">
        <f>IF(+J96&lt;F113,J96,D114)</f>
        <v>514</v>
      </c>
      <c r="F114" s="163">
        <f t="shared" si="29"/>
        <v>15537.5</v>
      </c>
      <c r="G114" s="163">
        <f t="shared" si="30"/>
        <v>15794.5</v>
      </c>
      <c r="H114" s="167">
        <f t="shared" si="31"/>
        <v>2136.6569102477561</v>
      </c>
      <c r="I114" s="317">
        <f t="shared" si="32"/>
        <v>2136.6569102477561</v>
      </c>
      <c r="J114" s="162">
        <f t="shared" si="28"/>
        <v>0</v>
      </c>
      <c r="K114" s="162"/>
      <c r="L114" s="335"/>
      <c r="M114" s="162">
        <f t="shared" si="33"/>
        <v>0</v>
      </c>
      <c r="N114" s="335"/>
      <c r="O114" s="162">
        <f t="shared" si="34"/>
        <v>0</v>
      </c>
      <c r="P114" s="162">
        <f t="shared" si="35"/>
        <v>0</v>
      </c>
    </row>
    <row r="115" spans="2:16">
      <c r="B115" s="9" t="str">
        <f t="shared" si="27"/>
        <v/>
      </c>
      <c r="C115" s="157">
        <f>IF(D93="","-",+C114+1)</f>
        <v>2026</v>
      </c>
      <c r="D115" s="158">
        <f>IF(F114+SUM(E$101:E114)=D$92,F114,D$92-SUM(E$101:E114))</f>
        <v>15537.5</v>
      </c>
      <c r="E115" s="165">
        <f>IF(+J96&lt;F114,J96,D115)</f>
        <v>514</v>
      </c>
      <c r="F115" s="163">
        <f t="shared" si="29"/>
        <v>15023.5</v>
      </c>
      <c r="G115" s="163">
        <f t="shared" si="30"/>
        <v>15280.5</v>
      </c>
      <c r="H115" s="167">
        <f t="shared" si="31"/>
        <v>2083.8508288987205</v>
      </c>
      <c r="I115" s="317">
        <f t="shared" si="32"/>
        <v>2083.8508288987205</v>
      </c>
      <c r="J115" s="162">
        <f t="shared" si="28"/>
        <v>0</v>
      </c>
      <c r="K115" s="162"/>
      <c r="L115" s="335"/>
      <c r="M115" s="162">
        <f t="shared" si="33"/>
        <v>0</v>
      </c>
      <c r="N115" s="335"/>
      <c r="O115" s="162">
        <f t="shared" si="34"/>
        <v>0</v>
      </c>
      <c r="P115" s="162">
        <f t="shared" si="35"/>
        <v>0</v>
      </c>
    </row>
    <row r="116" spans="2:16">
      <c r="B116" s="9" t="str">
        <f t="shared" si="27"/>
        <v/>
      </c>
      <c r="C116" s="157">
        <f>IF(D93="","-",+C115+1)</f>
        <v>2027</v>
      </c>
      <c r="D116" s="158">
        <f>IF(F115+SUM(E$101:E115)=D$92,F115,D$92-SUM(E$101:E115))</f>
        <v>15023.5</v>
      </c>
      <c r="E116" s="165">
        <f>IF(+J96&lt;F115,J96,D116)</f>
        <v>514</v>
      </c>
      <c r="F116" s="163">
        <f t="shared" si="29"/>
        <v>14509.5</v>
      </c>
      <c r="G116" s="163">
        <f t="shared" si="30"/>
        <v>14766.5</v>
      </c>
      <c r="H116" s="167">
        <f t="shared" si="31"/>
        <v>2031.0447475496844</v>
      </c>
      <c r="I116" s="317">
        <f t="shared" si="32"/>
        <v>2031.0447475496844</v>
      </c>
      <c r="J116" s="162">
        <f t="shared" si="28"/>
        <v>0</v>
      </c>
      <c r="K116" s="162"/>
      <c r="L116" s="335"/>
      <c r="M116" s="162">
        <f t="shared" si="33"/>
        <v>0</v>
      </c>
      <c r="N116" s="335"/>
      <c r="O116" s="162">
        <f t="shared" si="34"/>
        <v>0</v>
      </c>
      <c r="P116" s="162">
        <f t="shared" si="35"/>
        <v>0</v>
      </c>
    </row>
    <row r="117" spans="2:16">
      <c r="B117" s="9" t="str">
        <f t="shared" si="27"/>
        <v/>
      </c>
      <c r="C117" s="157">
        <f>IF(D93="","-",+C116+1)</f>
        <v>2028</v>
      </c>
      <c r="D117" s="158">
        <f>IF(F116+SUM(E$101:E116)=D$92,F116,D$92-SUM(E$101:E116))</f>
        <v>14509.5</v>
      </c>
      <c r="E117" s="165">
        <f>IF(+J96&lt;F116,J96,D117)</f>
        <v>514</v>
      </c>
      <c r="F117" s="163">
        <f t="shared" si="29"/>
        <v>13995.5</v>
      </c>
      <c r="G117" s="163">
        <f t="shared" si="30"/>
        <v>14252.5</v>
      </c>
      <c r="H117" s="167">
        <f t="shared" si="31"/>
        <v>1978.2386662006486</v>
      </c>
      <c r="I117" s="317">
        <f t="shared" si="32"/>
        <v>1978.2386662006486</v>
      </c>
      <c r="J117" s="162">
        <f t="shared" si="28"/>
        <v>0</v>
      </c>
      <c r="K117" s="162"/>
      <c r="L117" s="335"/>
      <c r="M117" s="162">
        <f t="shared" si="33"/>
        <v>0</v>
      </c>
      <c r="N117" s="335"/>
      <c r="O117" s="162">
        <f t="shared" si="34"/>
        <v>0</v>
      </c>
      <c r="P117" s="162">
        <f t="shared" si="35"/>
        <v>0</v>
      </c>
    </row>
    <row r="118" spans="2:16">
      <c r="B118" s="9" t="str">
        <f t="shared" si="27"/>
        <v/>
      </c>
      <c r="C118" s="157">
        <f>IF(D93="","-",+C117+1)</f>
        <v>2029</v>
      </c>
      <c r="D118" s="158">
        <f>IF(F117+SUM(E$101:E117)=D$92,F117,D$92-SUM(E$101:E117))</f>
        <v>13995.5</v>
      </c>
      <c r="E118" s="165">
        <f>IF(+J96&lt;F117,J96,D118)</f>
        <v>514</v>
      </c>
      <c r="F118" s="163">
        <f t="shared" si="29"/>
        <v>13481.5</v>
      </c>
      <c r="G118" s="163">
        <f t="shared" si="30"/>
        <v>13738.5</v>
      </c>
      <c r="H118" s="167">
        <f t="shared" si="31"/>
        <v>1925.4325848516125</v>
      </c>
      <c r="I118" s="317">
        <f t="shared" si="32"/>
        <v>1925.4325848516125</v>
      </c>
      <c r="J118" s="162">
        <f t="shared" si="28"/>
        <v>0</v>
      </c>
      <c r="K118" s="162"/>
      <c r="L118" s="335"/>
      <c r="M118" s="162">
        <f t="shared" si="33"/>
        <v>0</v>
      </c>
      <c r="N118" s="335"/>
      <c r="O118" s="162">
        <f t="shared" si="34"/>
        <v>0</v>
      </c>
      <c r="P118" s="162">
        <f t="shared" si="35"/>
        <v>0</v>
      </c>
    </row>
    <row r="119" spans="2:16">
      <c r="B119" s="9" t="str">
        <f t="shared" si="27"/>
        <v/>
      </c>
      <c r="C119" s="157">
        <f>IF(D93="","-",+C118+1)</f>
        <v>2030</v>
      </c>
      <c r="D119" s="158">
        <f>IF(F118+SUM(E$101:E118)=D$92,F118,D$92-SUM(E$101:E118))</f>
        <v>13481.5</v>
      </c>
      <c r="E119" s="165">
        <f t="shared" ref="E119:E154" si="36">IF(+J$96&lt;F118,J$96,D119)</f>
        <v>514</v>
      </c>
      <c r="F119" s="163">
        <f t="shared" si="29"/>
        <v>12967.5</v>
      </c>
      <c r="G119" s="163">
        <f t="shared" si="30"/>
        <v>13224.5</v>
      </c>
      <c r="H119" s="167">
        <f t="shared" si="31"/>
        <v>1872.6265035025767</v>
      </c>
      <c r="I119" s="317">
        <f t="shared" si="32"/>
        <v>1872.6265035025767</v>
      </c>
      <c r="J119" s="162">
        <f t="shared" si="28"/>
        <v>0</v>
      </c>
      <c r="K119" s="162"/>
      <c r="L119" s="335"/>
      <c r="M119" s="162">
        <f t="shared" si="33"/>
        <v>0</v>
      </c>
      <c r="N119" s="335"/>
      <c r="O119" s="162">
        <f t="shared" si="34"/>
        <v>0</v>
      </c>
      <c r="P119" s="162">
        <f t="shared" si="35"/>
        <v>0</v>
      </c>
    </row>
    <row r="120" spans="2:16">
      <c r="B120" s="9" t="str">
        <f t="shared" si="27"/>
        <v/>
      </c>
      <c r="C120" s="157">
        <f>IF(D93="","-",+C119+1)</f>
        <v>2031</v>
      </c>
      <c r="D120" s="158">
        <f>IF(F119+SUM(E$101:E119)=D$92,F119,D$92-SUM(E$101:E119))</f>
        <v>12967.5</v>
      </c>
      <c r="E120" s="165">
        <f t="shared" si="36"/>
        <v>514</v>
      </c>
      <c r="F120" s="163">
        <f t="shared" si="29"/>
        <v>12453.5</v>
      </c>
      <c r="G120" s="163">
        <f t="shared" si="30"/>
        <v>12710.5</v>
      </c>
      <c r="H120" s="167">
        <f t="shared" si="31"/>
        <v>1819.8204221535409</v>
      </c>
      <c r="I120" s="317">
        <f t="shared" si="32"/>
        <v>1819.8204221535409</v>
      </c>
      <c r="J120" s="162">
        <f t="shared" si="28"/>
        <v>0</v>
      </c>
      <c r="K120" s="162"/>
      <c r="L120" s="335"/>
      <c r="M120" s="162">
        <f t="shared" si="33"/>
        <v>0</v>
      </c>
      <c r="N120" s="335"/>
      <c r="O120" s="162">
        <f t="shared" si="34"/>
        <v>0</v>
      </c>
      <c r="P120" s="162">
        <f t="shared" si="35"/>
        <v>0</v>
      </c>
    </row>
    <row r="121" spans="2:16">
      <c r="B121" s="9" t="str">
        <f t="shared" si="27"/>
        <v/>
      </c>
      <c r="C121" s="157">
        <f>IF(D93="","-",+C120+1)</f>
        <v>2032</v>
      </c>
      <c r="D121" s="158">
        <f>IF(F120+SUM(E$101:E120)=D$92,F120,D$92-SUM(E$101:E120))</f>
        <v>12453.5</v>
      </c>
      <c r="E121" s="165">
        <f t="shared" si="36"/>
        <v>514</v>
      </c>
      <c r="F121" s="163">
        <f t="shared" si="29"/>
        <v>11939.5</v>
      </c>
      <c r="G121" s="163">
        <f t="shared" si="30"/>
        <v>12196.5</v>
      </c>
      <c r="H121" s="167">
        <f t="shared" si="31"/>
        <v>1767.0143408045051</v>
      </c>
      <c r="I121" s="317">
        <f t="shared" si="32"/>
        <v>1767.0143408045051</v>
      </c>
      <c r="J121" s="162">
        <f t="shared" si="28"/>
        <v>0</v>
      </c>
      <c r="K121" s="162"/>
      <c r="L121" s="335"/>
      <c r="M121" s="162">
        <f t="shared" si="33"/>
        <v>0</v>
      </c>
      <c r="N121" s="335"/>
      <c r="O121" s="162">
        <f t="shared" si="34"/>
        <v>0</v>
      </c>
      <c r="P121" s="162">
        <f t="shared" si="35"/>
        <v>0</v>
      </c>
    </row>
    <row r="122" spans="2:16">
      <c r="B122" s="9" t="str">
        <f t="shared" si="27"/>
        <v/>
      </c>
      <c r="C122" s="157">
        <f>IF(D93="","-",+C121+1)</f>
        <v>2033</v>
      </c>
      <c r="D122" s="158">
        <f>IF(F121+SUM(E$101:E121)=D$92,F121,D$92-SUM(E$101:E121))</f>
        <v>11939.5</v>
      </c>
      <c r="E122" s="165">
        <f t="shared" si="36"/>
        <v>514</v>
      </c>
      <c r="F122" s="163">
        <f t="shared" si="29"/>
        <v>11425.5</v>
      </c>
      <c r="G122" s="163">
        <f t="shared" si="30"/>
        <v>11682.5</v>
      </c>
      <c r="H122" s="167">
        <f t="shared" si="31"/>
        <v>1714.2082594554693</v>
      </c>
      <c r="I122" s="317">
        <f t="shared" si="32"/>
        <v>1714.2082594554693</v>
      </c>
      <c r="J122" s="162">
        <f t="shared" si="28"/>
        <v>0</v>
      </c>
      <c r="K122" s="162"/>
      <c r="L122" s="335"/>
      <c r="M122" s="162">
        <f t="shared" si="33"/>
        <v>0</v>
      </c>
      <c r="N122" s="335"/>
      <c r="O122" s="162">
        <f t="shared" si="34"/>
        <v>0</v>
      </c>
      <c r="P122" s="162">
        <f t="shared" si="35"/>
        <v>0</v>
      </c>
    </row>
    <row r="123" spans="2:16">
      <c r="B123" s="9" t="str">
        <f t="shared" si="27"/>
        <v/>
      </c>
      <c r="C123" s="157">
        <f>IF(D93="","-",+C122+1)</f>
        <v>2034</v>
      </c>
      <c r="D123" s="158">
        <f>IF(F122+SUM(E$101:E122)=D$92,F122,D$92-SUM(E$101:E122))</f>
        <v>11425.5</v>
      </c>
      <c r="E123" s="165">
        <f t="shared" si="36"/>
        <v>514</v>
      </c>
      <c r="F123" s="163">
        <f t="shared" si="29"/>
        <v>10911.5</v>
      </c>
      <c r="G123" s="163">
        <f t="shared" si="30"/>
        <v>11168.5</v>
      </c>
      <c r="H123" s="167">
        <f t="shared" si="31"/>
        <v>1661.4021781064334</v>
      </c>
      <c r="I123" s="317">
        <f t="shared" si="32"/>
        <v>1661.4021781064334</v>
      </c>
      <c r="J123" s="162">
        <f t="shared" si="28"/>
        <v>0</v>
      </c>
      <c r="K123" s="162"/>
      <c r="L123" s="335"/>
      <c r="M123" s="162">
        <f t="shared" si="33"/>
        <v>0</v>
      </c>
      <c r="N123" s="335"/>
      <c r="O123" s="162">
        <f t="shared" si="34"/>
        <v>0</v>
      </c>
      <c r="P123" s="162">
        <f t="shared" si="35"/>
        <v>0</v>
      </c>
    </row>
    <row r="124" spans="2:16">
      <c r="B124" s="9" t="str">
        <f t="shared" si="27"/>
        <v/>
      </c>
      <c r="C124" s="157">
        <f>IF(D93="","-",+C123+1)</f>
        <v>2035</v>
      </c>
      <c r="D124" s="158">
        <f>IF(F123+SUM(E$101:E123)=D$92,F123,D$92-SUM(E$101:E123))</f>
        <v>10911.5</v>
      </c>
      <c r="E124" s="165">
        <f t="shared" si="36"/>
        <v>514</v>
      </c>
      <c r="F124" s="163">
        <f t="shared" si="29"/>
        <v>10397.5</v>
      </c>
      <c r="G124" s="163">
        <f t="shared" si="30"/>
        <v>10654.5</v>
      </c>
      <c r="H124" s="167">
        <f t="shared" si="31"/>
        <v>1608.5960967573976</v>
      </c>
      <c r="I124" s="317">
        <f t="shared" si="32"/>
        <v>1608.5960967573976</v>
      </c>
      <c r="J124" s="162">
        <f t="shared" si="28"/>
        <v>0</v>
      </c>
      <c r="K124" s="162"/>
      <c r="L124" s="335"/>
      <c r="M124" s="162">
        <f t="shared" si="33"/>
        <v>0</v>
      </c>
      <c r="N124" s="335"/>
      <c r="O124" s="162">
        <f t="shared" si="34"/>
        <v>0</v>
      </c>
      <c r="P124" s="162">
        <f t="shared" si="35"/>
        <v>0</v>
      </c>
    </row>
    <row r="125" spans="2:16">
      <c r="B125" s="9" t="str">
        <f t="shared" si="27"/>
        <v/>
      </c>
      <c r="C125" s="157">
        <f>IF(D93="","-",+C124+1)</f>
        <v>2036</v>
      </c>
      <c r="D125" s="158">
        <f>IF(F124+SUM(E$101:E124)=D$92,F124,D$92-SUM(E$101:E124))</f>
        <v>10397.5</v>
      </c>
      <c r="E125" s="165">
        <f t="shared" si="36"/>
        <v>514</v>
      </c>
      <c r="F125" s="163">
        <f t="shared" si="29"/>
        <v>9883.5</v>
      </c>
      <c r="G125" s="163">
        <f t="shared" si="30"/>
        <v>10140.5</v>
      </c>
      <c r="H125" s="167">
        <f t="shared" si="31"/>
        <v>1555.7900154083618</v>
      </c>
      <c r="I125" s="317">
        <f t="shared" si="32"/>
        <v>1555.7900154083618</v>
      </c>
      <c r="J125" s="162">
        <f t="shared" si="28"/>
        <v>0</v>
      </c>
      <c r="K125" s="162"/>
      <c r="L125" s="335"/>
      <c r="M125" s="162">
        <f t="shared" si="33"/>
        <v>0</v>
      </c>
      <c r="N125" s="335"/>
      <c r="O125" s="162">
        <f t="shared" si="34"/>
        <v>0</v>
      </c>
      <c r="P125" s="162">
        <f t="shared" si="35"/>
        <v>0</v>
      </c>
    </row>
    <row r="126" spans="2:16">
      <c r="B126" s="9" t="str">
        <f t="shared" si="27"/>
        <v/>
      </c>
      <c r="C126" s="157">
        <f>IF(D93="","-",+C125+1)</f>
        <v>2037</v>
      </c>
      <c r="D126" s="158">
        <f>IF(F125+SUM(E$101:E125)=D$92,F125,D$92-SUM(E$101:E125))</f>
        <v>9883.5</v>
      </c>
      <c r="E126" s="165">
        <f t="shared" si="36"/>
        <v>514</v>
      </c>
      <c r="F126" s="163">
        <f t="shared" si="29"/>
        <v>9369.5</v>
      </c>
      <c r="G126" s="163">
        <f t="shared" si="30"/>
        <v>9626.5</v>
      </c>
      <c r="H126" s="167">
        <f t="shared" si="31"/>
        <v>1502.983934059326</v>
      </c>
      <c r="I126" s="317">
        <f t="shared" si="32"/>
        <v>1502.983934059326</v>
      </c>
      <c r="J126" s="162">
        <f t="shared" si="28"/>
        <v>0</v>
      </c>
      <c r="K126" s="162"/>
      <c r="L126" s="335"/>
      <c r="M126" s="162">
        <f t="shared" si="33"/>
        <v>0</v>
      </c>
      <c r="N126" s="335"/>
      <c r="O126" s="162">
        <f t="shared" si="34"/>
        <v>0</v>
      </c>
      <c r="P126" s="162">
        <f t="shared" si="35"/>
        <v>0</v>
      </c>
    </row>
    <row r="127" spans="2:16">
      <c r="B127" s="9" t="str">
        <f t="shared" si="27"/>
        <v/>
      </c>
      <c r="C127" s="157">
        <f>IF(D93="","-",+C126+1)</f>
        <v>2038</v>
      </c>
      <c r="D127" s="158">
        <f>IF(F126+SUM(E$101:E126)=D$92,F126,D$92-SUM(E$101:E126))</f>
        <v>9369.5</v>
      </c>
      <c r="E127" s="165">
        <f t="shared" si="36"/>
        <v>514</v>
      </c>
      <c r="F127" s="163">
        <f t="shared" si="29"/>
        <v>8855.5</v>
      </c>
      <c r="G127" s="163">
        <f t="shared" si="30"/>
        <v>9112.5</v>
      </c>
      <c r="H127" s="167">
        <f t="shared" si="31"/>
        <v>1450.1778527102902</v>
      </c>
      <c r="I127" s="317">
        <f t="shared" si="32"/>
        <v>1450.1778527102902</v>
      </c>
      <c r="J127" s="162">
        <f t="shared" si="28"/>
        <v>0</v>
      </c>
      <c r="K127" s="162"/>
      <c r="L127" s="335"/>
      <c r="M127" s="162">
        <f t="shared" si="33"/>
        <v>0</v>
      </c>
      <c r="N127" s="335"/>
      <c r="O127" s="162">
        <f t="shared" si="34"/>
        <v>0</v>
      </c>
      <c r="P127" s="162">
        <f t="shared" si="35"/>
        <v>0</v>
      </c>
    </row>
    <row r="128" spans="2:16">
      <c r="B128" s="9" t="str">
        <f t="shared" si="27"/>
        <v/>
      </c>
      <c r="C128" s="157">
        <f>IF(D93="","-",+C127+1)</f>
        <v>2039</v>
      </c>
      <c r="D128" s="158">
        <f>IF(F127+SUM(E$101:E127)=D$92,F127,D$92-SUM(E$101:E127))</f>
        <v>8855.5</v>
      </c>
      <c r="E128" s="165">
        <f t="shared" si="36"/>
        <v>514</v>
      </c>
      <c r="F128" s="163">
        <f t="shared" si="29"/>
        <v>8341.5</v>
      </c>
      <c r="G128" s="163">
        <f t="shared" si="30"/>
        <v>8598.5</v>
      </c>
      <c r="H128" s="167">
        <f t="shared" si="31"/>
        <v>1397.3717713612541</v>
      </c>
      <c r="I128" s="317">
        <f t="shared" si="32"/>
        <v>1397.3717713612541</v>
      </c>
      <c r="J128" s="162">
        <f t="shared" si="28"/>
        <v>0</v>
      </c>
      <c r="K128" s="162"/>
      <c r="L128" s="335"/>
      <c r="M128" s="162">
        <f t="shared" si="33"/>
        <v>0</v>
      </c>
      <c r="N128" s="335"/>
      <c r="O128" s="162">
        <f t="shared" si="34"/>
        <v>0</v>
      </c>
      <c r="P128" s="162">
        <f t="shared" si="35"/>
        <v>0</v>
      </c>
    </row>
    <row r="129" spans="2:16">
      <c r="B129" s="9" t="str">
        <f t="shared" si="27"/>
        <v/>
      </c>
      <c r="C129" s="157">
        <f>IF(D93="","-",+C128+1)</f>
        <v>2040</v>
      </c>
      <c r="D129" s="158">
        <f>IF(F128+SUM(E$101:E128)=D$92,F128,D$92-SUM(E$101:E128))</f>
        <v>8341.5</v>
      </c>
      <c r="E129" s="165">
        <f t="shared" si="36"/>
        <v>514</v>
      </c>
      <c r="F129" s="163">
        <f t="shared" si="29"/>
        <v>7827.5</v>
      </c>
      <c r="G129" s="163">
        <f t="shared" si="30"/>
        <v>8084.5</v>
      </c>
      <c r="H129" s="167">
        <f t="shared" si="31"/>
        <v>1344.5656900122185</v>
      </c>
      <c r="I129" s="317">
        <f t="shared" si="32"/>
        <v>1344.5656900122185</v>
      </c>
      <c r="J129" s="162">
        <f t="shared" si="28"/>
        <v>0</v>
      </c>
      <c r="K129" s="162"/>
      <c r="L129" s="335"/>
      <c r="M129" s="162">
        <f t="shared" si="33"/>
        <v>0</v>
      </c>
      <c r="N129" s="335"/>
      <c r="O129" s="162">
        <f t="shared" si="34"/>
        <v>0</v>
      </c>
      <c r="P129" s="162">
        <f t="shared" si="35"/>
        <v>0</v>
      </c>
    </row>
    <row r="130" spans="2:16">
      <c r="B130" s="9" t="str">
        <f t="shared" si="27"/>
        <v/>
      </c>
      <c r="C130" s="157">
        <f>IF(D93="","-",+C129+1)</f>
        <v>2041</v>
      </c>
      <c r="D130" s="158">
        <f>IF(F129+SUM(E$101:E129)=D$92,F129,D$92-SUM(E$101:E129))</f>
        <v>7827.5</v>
      </c>
      <c r="E130" s="165">
        <f t="shared" si="36"/>
        <v>514</v>
      </c>
      <c r="F130" s="163">
        <f t="shared" si="29"/>
        <v>7313.5</v>
      </c>
      <c r="G130" s="163">
        <f t="shared" si="30"/>
        <v>7570.5</v>
      </c>
      <c r="H130" s="167">
        <f t="shared" si="31"/>
        <v>1291.7596086631825</v>
      </c>
      <c r="I130" s="317">
        <f t="shared" si="32"/>
        <v>1291.7596086631825</v>
      </c>
      <c r="J130" s="162">
        <f t="shared" si="28"/>
        <v>0</v>
      </c>
      <c r="K130" s="162"/>
      <c r="L130" s="335"/>
      <c r="M130" s="162">
        <f t="shared" si="33"/>
        <v>0</v>
      </c>
      <c r="N130" s="335"/>
      <c r="O130" s="162">
        <f t="shared" si="34"/>
        <v>0</v>
      </c>
      <c r="P130" s="162">
        <f t="shared" si="35"/>
        <v>0</v>
      </c>
    </row>
    <row r="131" spans="2:16">
      <c r="B131" s="9" t="str">
        <f t="shared" si="27"/>
        <v/>
      </c>
      <c r="C131" s="157">
        <f>IF(D93="","-",+C130+1)</f>
        <v>2042</v>
      </c>
      <c r="D131" s="158">
        <f>IF(F130+SUM(E$101:E130)=D$92,F130,D$92-SUM(E$101:E130))</f>
        <v>7313.5</v>
      </c>
      <c r="E131" s="165">
        <f t="shared" si="36"/>
        <v>514</v>
      </c>
      <c r="F131" s="163">
        <f t="shared" si="29"/>
        <v>6799.5</v>
      </c>
      <c r="G131" s="163">
        <f t="shared" si="30"/>
        <v>7056.5</v>
      </c>
      <c r="H131" s="167">
        <f t="shared" si="31"/>
        <v>1238.9535273141469</v>
      </c>
      <c r="I131" s="317">
        <f t="shared" si="32"/>
        <v>1238.9535273141469</v>
      </c>
      <c r="J131" s="162">
        <f t="shared" si="28"/>
        <v>0</v>
      </c>
      <c r="K131" s="162"/>
      <c r="L131" s="335"/>
      <c r="M131" s="162">
        <f t="shared" ref="M131:M154" si="37">IF(L541&lt;&gt;0,+H541-L541,0)</f>
        <v>0</v>
      </c>
      <c r="N131" s="335"/>
      <c r="O131" s="162">
        <f t="shared" ref="O131:O154" si="38">IF(N541&lt;&gt;0,+I541-N541,0)</f>
        <v>0</v>
      </c>
      <c r="P131" s="162">
        <f t="shared" ref="P131:P154" si="39">+O541-M541</f>
        <v>0</v>
      </c>
    </row>
    <row r="132" spans="2:16">
      <c r="B132" s="9" t="str">
        <f t="shared" si="27"/>
        <v/>
      </c>
      <c r="C132" s="157">
        <f>IF(D93="","-",+C131+1)</f>
        <v>2043</v>
      </c>
      <c r="D132" s="158">
        <f>IF(F131+SUM(E$101:E131)=D$92,F131,D$92-SUM(E$101:E131))</f>
        <v>6799.5</v>
      </c>
      <c r="E132" s="165">
        <f t="shared" si="36"/>
        <v>514</v>
      </c>
      <c r="F132" s="163">
        <f t="shared" si="29"/>
        <v>6285.5</v>
      </c>
      <c r="G132" s="163">
        <f t="shared" si="30"/>
        <v>6542.5</v>
      </c>
      <c r="H132" s="167">
        <f t="shared" si="31"/>
        <v>1186.1474459651108</v>
      </c>
      <c r="I132" s="317">
        <f t="shared" si="32"/>
        <v>1186.1474459651108</v>
      </c>
      <c r="J132" s="162">
        <f t="shared" si="28"/>
        <v>0</v>
      </c>
      <c r="K132" s="162"/>
      <c r="L132" s="335"/>
      <c r="M132" s="162">
        <f t="shared" si="37"/>
        <v>0</v>
      </c>
      <c r="N132" s="335"/>
      <c r="O132" s="162">
        <f t="shared" si="38"/>
        <v>0</v>
      </c>
      <c r="P132" s="162">
        <f t="shared" si="39"/>
        <v>0</v>
      </c>
    </row>
    <row r="133" spans="2:16">
      <c r="B133" s="9" t="str">
        <f t="shared" si="27"/>
        <v/>
      </c>
      <c r="C133" s="157">
        <f>IF(D93="","-",+C132+1)</f>
        <v>2044</v>
      </c>
      <c r="D133" s="158">
        <f>IF(F132+SUM(E$101:E132)=D$92,F132,D$92-SUM(E$101:E132))</f>
        <v>6285.5</v>
      </c>
      <c r="E133" s="165">
        <f t="shared" si="36"/>
        <v>514</v>
      </c>
      <c r="F133" s="163">
        <f t="shared" si="29"/>
        <v>5771.5</v>
      </c>
      <c r="G133" s="163">
        <f t="shared" ref="G133:G154" si="40">+(F133+D133)/2</f>
        <v>6028.5</v>
      </c>
      <c r="H133" s="167">
        <f t="shared" ref="H133:H154" si="41">+J$94*G133+E133</f>
        <v>1133.341364616075</v>
      </c>
      <c r="I133" s="317">
        <f t="shared" ref="I133:I154" si="42">+J$95*G133+E133</f>
        <v>1133.341364616075</v>
      </c>
      <c r="J133" s="162">
        <f t="shared" ref="J133:J154" si="43">+I541-H541</f>
        <v>0</v>
      </c>
      <c r="K133" s="162"/>
      <c r="L133" s="335"/>
      <c r="M133" s="162">
        <f t="shared" si="37"/>
        <v>0</v>
      </c>
      <c r="N133" s="335"/>
      <c r="O133" s="162">
        <f t="shared" si="38"/>
        <v>0</v>
      </c>
      <c r="P133" s="162">
        <f t="shared" si="39"/>
        <v>0</v>
      </c>
    </row>
    <row r="134" spans="2:16">
      <c r="B134" s="9" t="str">
        <f t="shared" ref="B134:B154" si="44">IF(D134=F133,"","IU")</f>
        <v/>
      </c>
      <c r="C134" s="157">
        <f>IF(D93="","-",+C133+1)</f>
        <v>2045</v>
      </c>
      <c r="D134" s="158">
        <f>IF(F133+SUM(E$101:E133)=D$92,F133,D$92-SUM(E$101:E133))</f>
        <v>5771.5</v>
      </c>
      <c r="E134" s="165">
        <f t="shared" si="36"/>
        <v>514</v>
      </c>
      <c r="F134" s="163">
        <f t="shared" ref="F134:F154" si="45">+D134-E134</f>
        <v>5257.5</v>
      </c>
      <c r="G134" s="163">
        <f t="shared" si="40"/>
        <v>5514.5</v>
      </c>
      <c r="H134" s="167">
        <f t="shared" si="41"/>
        <v>1080.5352832670392</v>
      </c>
      <c r="I134" s="317">
        <f t="shared" si="42"/>
        <v>1080.5352832670392</v>
      </c>
      <c r="J134" s="162">
        <f t="shared" si="43"/>
        <v>0</v>
      </c>
      <c r="K134" s="162"/>
      <c r="L134" s="335"/>
      <c r="M134" s="162">
        <f t="shared" si="37"/>
        <v>0</v>
      </c>
      <c r="N134" s="335"/>
      <c r="O134" s="162">
        <f t="shared" si="38"/>
        <v>0</v>
      </c>
      <c r="P134" s="162">
        <f t="shared" si="39"/>
        <v>0</v>
      </c>
    </row>
    <row r="135" spans="2:16">
      <c r="B135" s="9" t="str">
        <f t="shared" si="44"/>
        <v/>
      </c>
      <c r="C135" s="157">
        <f>IF(D93="","-",+C134+1)</f>
        <v>2046</v>
      </c>
      <c r="D135" s="158">
        <f>IF(F134+SUM(E$101:E134)=D$92,F134,D$92-SUM(E$101:E134))</f>
        <v>5257.5</v>
      </c>
      <c r="E135" s="165">
        <f t="shared" si="36"/>
        <v>514</v>
      </c>
      <c r="F135" s="163">
        <f t="shared" si="45"/>
        <v>4743.5</v>
      </c>
      <c r="G135" s="163">
        <f t="shared" si="40"/>
        <v>5000.5</v>
      </c>
      <c r="H135" s="167">
        <f t="shared" si="41"/>
        <v>1027.7292019180034</v>
      </c>
      <c r="I135" s="317">
        <f t="shared" si="42"/>
        <v>1027.7292019180034</v>
      </c>
      <c r="J135" s="162">
        <f t="shared" si="43"/>
        <v>0</v>
      </c>
      <c r="K135" s="162"/>
      <c r="L135" s="335"/>
      <c r="M135" s="162">
        <f t="shared" si="37"/>
        <v>0</v>
      </c>
      <c r="N135" s="335"/>
      <c r="O135" s="162">
        <f t="shared" si="38"/>
        <v>0</v>
      </c>
      <c r="P135" s="162">
        <f t="shared" si="39"/>
        <v>0</v>
      </c>
    </row>
    <row r="136" spans="2:16">
      <c r="B136" s="9" t="str">
        <f t="shared" si="44"/>
        <v/>
      </c>
      <c r="C136" s="157">
        <f>IF(D93="","-",+C135+1)</f>
        <v>2047</v>
      </c>
      <c r="D136" s="158">
        <f>IF(F135+SUM(E$101:E135)=D$92,F135,D$92-SUM(E$101:E135))</f>
        <v>4743.5</v>
      </c>
      <c r="E136" s="165">
        <f t="shared" si="36"/>
        <v>514</v>
      </c>
      <c r="F136" s="163">
        <f t="shared" si="45"/>
        <v>4229.5</v>
      </c>
      <c r="G136" s="163">
        <f t="shared" si="40"/>
        <v>4486.5</v>
      </c>
      <c r="H136" s="167">
        <f t="shared" si="41"/>
        <v>974.92312056896753</v>
      </c>
      <c r="I136" s="317">
        <f t="shared" si="42"/>
        <v>974.92312056896753</v>
      </c>
      <c r="J136" s="162">
        <f t="shared" si="43"/>
        <v>0</v>
      </c>
      <c r="K136" s="162"/>
      <c r="L136" s="335"/>
      <c r="M136" s="162">
        <f t="shared" si="37"/>
        <v>0</v>
      </c>
      <c r="N136" s="335"/>
      <c r="O136" s="162">
        <f t="shared" si="38"/>
        <v>0</v>
      </c>
      <c r="P136" s="162">
        <f t="shared" si="39"/>
        <v>0</v>
      </c>
    </row>
    <row r="137" spans="2:16">
      <c r="B137" s="9" t="str">
        <f t="shared" si="44"/>
        <v/>
      </c>
      <c r="C137" s="157">
        <f>IF(D93="","-",+C136+1)</f>
        <v>2048</v>
      </c>
      <c r="D137" s="158">
        <f>IF(F136+SUM(E$101:E136)=D$92,F136,D$92-SUM(E$101:E136))</f>
        <v>4229.5</v>
      </c>
      <c r="E137" s="165">
        <f t="shared" si="36"/>
        <v>514</v>
      </c>
      <c r="F137" s="163">
        <f t="shared" si="45"/>
        <v>3715.5</v>
      </c>
      <c r="G137" s="163">
        <f t="shared" si="40"/>
        <v>3972.5</v>
      </c>
      <c r="H137" s="167">
        <f t="shared" si="41"/>
        <v>922.11703921993171</v>
      </c>
      <c r="I137" s="317">
        <f t="shared" si="42"/>
        <v>922.11703921993171</v>
      </c>
      <c r="J137" s="162">
        <f t="shared" si="43"/>
        <v>0</v>
      </c>
      <c r="K137" s="162"/>
      <c r="L137" s="335"/>
      <c r="M137" s="162">
        <f t="shared" si="37"/>
        <v>0</v>
      </c>
      <c r="N137" s="335"/>
      <c r="O137" s="162">
        <f t="shared" si="38"/>
        <v>0</v>
      </c>
      <c r="P137" s="162">
        <f t="shared" si="39"/>
        <v>0</v>
      </c>
    </row>
    <row r="138" spans="2:16">
      <c r="B138" s="9" t="str">
        <f t="shared" si="44"/>
        <v/>
      </c>
      <c r="C138" s="157">
        <f>IF(D93="","-",+C137+1)</f>
        <v>2049</v>
      </c>
      <c r="D138" s="158">
        <f>IF(F137+SUM(E$101:E137)=D$92,F137,D$92-SUM(E$101:E137))</f>
        <v>3715.5</v>
      </c>
      <c r="E138" s="165">
        <f t="shared" si="36"/>
        <v>514</v>
      </c>
      <c r="F138" s="163">
        <f t="shared" si="45"/>
        <v>3201.5</v>
      </c>
      <c r="G138" s="163">
        <f t="shared" si="40"/>
        <v>3458.5</v>
      </c>
      <c r="H138" s="167">
        <f t="shared" si="41"/>
        <v>869.31095787089589</v>
      </c>
      <c r="I138" s="317">
        <f t="shared" si="42"/>
        <v>869.31095787089589</v>
      </c>
      <c r="J138" s="162">
        <f t="shared" si="43"/>
        <v>0</v>
      </c>
      <c r="K138" s="162"/>
      <c r="L138" s="335"/>
      <c r="M138" s="162">
        <f t="shared" si="37"/>
        <v>0</v>
      </c>
      <c r="N138" s="335"/>
      <c r="O138" s="162">
        <f t="shared" si="38"/>
        <v>0</v>
      </c>
      <c r="P138" s="162">
        <f t="shared" si="39"/>
        <v>0</v>
      </c>
    </row>
    <row r="139" spans="2:16">
      <c r="B139" s="9" t="str">
        <f t="shared" si="44"/>
        <v/>
      </c>
      <c r="C139" s="157">
        <f>IF(D93="","-",+C138+1)</f>
        <v>2050</v>
      </c>
      <c r="D139" s="158">
        <f>IF(F138+SUM(E$101:E138)=D$92,F138,D$92-SUM(E$101:E138))</f>
        <v>3201.5</v>
      </c>
      <c r="E139" s="165">
        <f t="shared" si="36"/>
        <v>514</v>
      </c>
      <c r="F139" s="163">
        <f t="shared" si="45"/>
        <v>2687.5</v>
      </c>
      <c r="G139" s="163">
        <f t="shared" si="40"/>
        <v>2944.5</v>
      </c>
      <c r="H139" s="167">
        <f t="shared" si="41"/>
        <v>816.50487652186007</v>
      </c>
      <c r="I139" s="317">
        <f t="shared" si="42"/>
        <v>816.50487652186007</v>
      </c>
      <c r="J139" s="162">
        <f t="shared" si="43"/>
        <v>0</v>
      </c>
      <c r="K139" s="162"/>
      <c r="L139" s="335"/>
      <c r="M139" s="162">
        <f t="shared" si="37"/>
        <v>0</v>
      </c>
      <c r="N139" s="335"/>
      <c r="O139" s="162">
        <f t="shared" si="38"/>
        <v>0</v>
      </c>
      <c r="P139" s="162">
        <f t="shared" si="39"/>
        <v>0</v>
      </c>
    </row>
    <row r="140" spans="2:16">
      <c r="B140" s="9" t="str">
        <f t="shared" si="44"/>
        <v/>
      </c>
      <c r="C140" s="157">
        <f>IF(D93="","-",+C139+1)</f>
        <v>2051</v>
      </c>
      <c r="D140" s="158">
        <f>IF(F139+SUM(E$101:E139)=D$92,F139,D$92-SUM(E$101:E139))</f>
        <v>2687.5</v>
      </c>
      <c r="E140" s="165">
        <f t="shared" si="36"/>
        <v>514</v>
      </c>
      <c r="F140" s="163">
        <f t="shared" si="45"/>
        <v>2173.5</v>
      </c>
      <c r="G140" s="163">
        <f t="shared" si="40"/>
        <v>2430.5</v>
      </c>
      <c r="H140" s="167">
        <f t="shared" si="41"/>
        <v>763.69879517282413</v>
      </c>
      <c r="I140" s="317">
        <f t="shared" si="42"/>
        <v>763.69879517282413</v>
      </c>
      <c r="J140" s="162">
        <f t="shared" si="43"/>
        <v>0</v>
      </c>
      <c r="K140" s="162"/>
      <c r="L140" s="335"/>
      <c r="M140" s="162">
        <f t="shared" si="37"/>
        <v>0</v>
      </c>
      <c r="N140" s="335"/>
      <c r="O140" s="162">
        <f t="shared" si="38"/>
        <v>0</v>
      </c>
      <c r="P140" s="162">
        <f t="shared" si="39"/>
        <v>0</v>
      </c>
    </row>
    <row r="141" spans="2:16">
      <c r="B141" s="9" t="str">
        <f t="shared" si="44"/>
        <v/>
      </c>
      <c r="C141" s="157">
        <f>IF(D93="","-",+C140+1)</f>
        <v>2052</v>
      </c>
      <c r="D141" s="158">
        <f>IF(F140+SUM(E$101:E140)=D$92,F140,D$92-SUM(E$101:E140))</f>
        <v>2173.5</v>
      </c>
      <c r="E141" s="165">
        <f t="shared" si="36"/>
        <v>514</v>
      </c>
      <c r="F141" s="163">
        <f t="shared" si="45"/>
        <v>1659.5</v>
      </c>
      <c r="G141" s="163">
        <f t="shared" si="40"/>
        <v>1916.5</v>
      </c>
      <c r="H141" s="167">
        <f t="shared" si="41"/>
        <v>710.89271382378831</v>
      </c>
      <c r="I141" s="317">
        <f t="shared" si="42"/>
        <v>710.89271382378831</v>
      </c>
      <c r="J141" s="162">
        <f t="shared" si="43"/>
        <v>0</v>
      </c>
      <c r="K141" s="162"/>
      <c r="L141" s="335"/>
      <c r="M141" s="162">
        <f t="shared" si="37"/>
        <v>0</v>
      </c>
      <c r="N141" s="335"/>
      <c r="O141" s="162">
        <f t="shared" si="38"/>
        <v>0</v>
      </c>
      <c r="P141" s="162">
        <f t="shared" si="39"/>
        <v>0</v>
      </c>
    </row>
    <row r="142" spans="2:16">
      <c r="B142" s="9" t="str">
        <f t="shared" si="44"/>
        <v/>
      </c>
      <c r="C142" s="157">
        <f>IF(D93="","-",+C141+1)</f>
        <v>2053</v>
      </c>
      <c r="D142" s="158">
        <f>IF(F141+SUM(E$101:E141)=D$92,F141,D$92-SUM(E$101:E141))</f>
        <v>1659.5</v>
      </c>
      <c r="E142" s="165">
        <f t="shared" si="36"/>
        <v>514</v>
      </c>
      <c r="F142" s="163">
        <f t="shared" si="45"/>
        <v>1145.5</v>
      </c>
      <c r="G142" s="163">
        <f t="shared" si="40"/>
        <v>1402.5</v>
      </c>
      <c r="H142" s="167">
        <f t="shared" si="41"/>
        <v>658.08663247475249</v>
      </c>
      <c r="I142" s="317">
        <f t="shared" si="42"/>
        <v>658.08663247475249</v>
      </c>
      <c r="J142" s="162">
        <f t="shared" si="43"/>
        <v>0</v>
      </c>
      <c r="K142" s="162"/>
      <c r="L142" s="335"/>
      <c r="M142" s="162">
        <f t="shared" si="37"/>
        <v>0</v>
      </c>
      <c r="N142" s="335"/>
      <c r="O142" s="162">
        <f t="shared" si="38"/>
        <v>0</v>
      </c>
      <c r="P142" s="162">
        <f t="shared" si="39"/>
        <v>0</v>
      </c>
    </row>
    <row r="143" spans="2:16">
      <c r="B143" s="9" t="str">
        <f t="shared" si="44"/>
        <v/>
      </c>
      <c r="C143" s="157">
        <f>IF(D93="","-",+C142+1)</f>
        <v>2054</v>
      </c>
      <c r="D143" s="158">
        <f>IF(F142+SUM(E$101:E142)=D$92,F142,D$92-SUM(E$101:E142))</f>
        <v>1145.5</v>
      </c>
      <c r="E143" s="165">
        <f t="shared" si="36"/>
        <v>514</v>
      </c>
      <c r="F143" s="163">
        <f t="shared" si="45"/>
        <v>631.5</v>
      </c>
      <c r="G143" s="163">
        <f t="shared" si="40"/>
        <v>888.5</v>
      </c>
      <c r="H143" s="167">
        <f t="shared" si="41"/>
        <v>605.28055112571667</v>
      </c>
      <c r="I143" s="317">
        <f t="shared" si="42"/>
        <v>605.28055112571667</v>
      </c>
      <c r="J143" s="162">
        <f t="shared" si="43"/>
        <v>0</v>
      </c>
      <c r="K143" s="162"/>
      <c r="L143" s="335"/>
      <c r="M143" s="162">
        <f t="shared" si="37"/>
        <v>0</v>
      </c>
      <c r="N143" s="335"/>
      <c r="O143" s="162">
        <f t="shared" si="38"/>
        <v>0</v>
      </c>
      <c r="P143" s="162">
        <f t="shared" si="39"/>
        <v>0</v>
      </c>
    </row>
    <row r="144" spans="2:16">
      <c r="B144" s="9" t="str">
        <f t="shared" si="44"/>
        <v/>
      </c>
      <c r="C144" s="157">
        <f>IF(D93="","-",+C143+1)</f>
        <v>2055</v>
      </c>
      <c r="D144" s="158">
        <f>IF(F143+SUM(E$101:E143)=D$92,F143,D$92-SUM(E$101:E143))</f>
        <v>631.5</v>
      </c>
      <c r="E144" s="165">
        <f t="shared" si="36"/>
        <v>514</v>
      </c>
      <c r="F144" s="163">
        <f t="shared" si="45"/>
        <v>117.5</v>
      </c>
      <c r="G144" s="163">
        <f t="shared" si="40"/>
        <v>374.5</v>
      </c>
      <c r="H144" s="167">
        <f t="shared" si="41"/>
        <v>552.47446977668073</v>
      </c>
      <c r="I144" s="317">
        <f t="shared" si="42"/>
        <v>552.47446977668073</v>
      </c>
      <c r="J144" s="162">
        <f t="shared" si="43"/>
        <v>0</v>
      </c>
      <c r="K144" s="162"/>
      <c r="L144" s="335"/>
      <c r="M144" s="162">
        <f t="shared" si="37"/>
        <v>0</v>
      </c>
      <c r="N144" s="335"/>
      <c r="O144" s="162">
        <f t="shared" si="38"/>
        <v>0</v>
      </c>
      <c r="P144" s="162">
        <f t="shared" si="39"/>
        <v>0</v>
      </c>
    </row>
    <row r="145" spans="2:16">
      <c r="B145" s="9" t="str">
        <f t="shared" si="44"/>
        <v/>
      </c>
      <c r="C145" s="157">
        <f>IF(D93="","-",+C144+1)</f>
        <v>2056</v>
      </c>
      <c r="D145" s="158">
        <f>IF(F144+SUM(E$101:E144)=D$92,F144,D$92-SUM(E$101:E144))</f>
        <v>117.5</v>
      </c>
      <c r="E145" s="165">
        <f t="shared" si="36"/>
        <v>117.5</v>
      </c>
      <c r="F145" s="163">
        <f t="shared" si="45"/>
        <v>0</v>
      </c>
      <c r="G145" s="163">
        <f t="shared" si="40"/>
        <v>58.75</v>
      </c>
      <c r="H145" s="167">
        <f t="shared" si="41"/>
        <v>123.53571455108143</v>
      </c>
      <c r="I145" s="317">
        <f t="shared" si="42"/>
        <v>123.53571455108143</v>
      </c>
      <c r="J145" s="162">
        <f t="shared" si="43"/>
        <v>0</v>
      </c>
      <c r="K145" s="162"/>
      <c r="L145" s="335"/>
      <c r="M145" s="162">
        <f t="shared" si="37"/>
        <v>0</v>
      </c>
      <c r="N145" s="335"/>
      <c r="O145" s="162">
        <f t="shared" si="38"/>
        <v>0</v>
      </c>
      <c r="P145" s="162">
        <f t="shared" si="39"/>
        <v>0</v>
      </c>
    </row>
    <row r="146" spans="2:16">
      <c r="B146" s="9" t="str">
        <f t="shared" si="44"/>
        <v/>
      </c>
      <c r="C146" s="157">
        <f>IF(D93="","-",+C145+1)</f>
        <v>2057</v>
      </c>
      <c r="D146" s="158">
        <f>IF(F145+SUM(E$101:E145)=D$92,F145,D$92-SUM(E$101:E145))</f>
        <v>0</v>
      </c>
      <c r="E146" s="165">
        <f t="shared" si="36"/>
        <v>0</v>
      </c>
      <c r="F146" s="163">
        <f t="shared" si="45"/>
        <v>0</v>
      </c>
      <c r="G146" s="163">
        <f t="shared" si="40"/>
        <v>0</v>
      </c>
      <c r="H146" s="167">
        <f t="shared" si="41"/>
        <v>0</v>
      </c>
      <c r="I146" s="317">
        <f t="shared" si="42"/>
        <v>0</v>
      </c>
      <c r="J146" s="162">
        <f t="shared" si="43"/>
        <v>0</v>
      </c>
      <c r="K146" s="162"/>
      <c r="L146" s="335"/>
      <c r="M146" s="162">
        <f t="shared" si="37"/>
        <v>0</v>
      </c>
      <c r="N146" s="335"/>
      <c r="O146" s="162">
        <f t="shared" si="38"/>
        <v>0</v>
      </c>
      <c r="P146" s="162">
        <f t="shared" si="39"/>
        <v>0</v>
      </c>
    </row>
    <row r="147" spans="2:16">
      <c r="B147" s="9" t="str">
        <f t="shared" si="44"/>
        <v/>
      </c>
      <c r="C147" s="157">
        <f>IF(D93="","-",+C146+1)</f>
        <v>2058</v>
      </c>
      <c r="D147" s="158">
        <f>IF(F146+SUM(E$101:E146)=D$92,F146,D$92-SUM(E$101:E146))</f>
        <v>0</v>
      </c>
      <c r="E147" s="165">
        <f t="shared" si="36"/>
        <v>0</v>
      </c>
      <c r="F147" s="163">
        <f t="shared" si="45"/>
        <v>0</v>
      </c>
      <c r="G147" s="163">
        <f t="shared" si="40"/>
        <v>0</v>
      </c>
      <c r="H147" s="167">
        <f t="shared" si="41"/>
        <v>0</v>
      </c>
      <c r="I147" s="317">
        <f t="shared" si="42"/>
        <v>0</v>
      </c>
      <c r="J147" s="162">
        <f t="shared" si="43"/>
        <v>0</v>
      </c>
      <c r="K147" s="162"/>
      <c r="L147" s="335"/>
      <c r="M147" s="162">
        <f t="shared" si="37"/>
        <v>0</v>
      </c>
      <c r="N147" s="335"/>
      <c r="O147" s="162">
        <f t="shared" si="38"/>
        <v>0</v>
      </c>
      <c r="P147" s="162">
        <f t="shared" si="39"/>
        <v>0</v>
      </c>
    </row>
    <row r="148" spans="2:16">
      <c r="B148" s="9" t="str">
        <f t="shared" si="44"/>
        <v/>
      </c>
      <c r="C148" s="157">
        <f>IF(D93="","-",+C147+1)</f>
        <v>2059</v>
      </c>
      <c r="D148" s="158">
        <f>IF(F147+SUM(E$101:E147)=D$92,F147,D$92-SUM(E$101:E147))</f>
        <v>0</v>
      </c>
      <c r="E148" s="165">
        <f t="shared" si="36"/>
        <v>0</v>
      </c>
      <c r="F148" s="163">
        <f t="shared" si="45"/>
        <v>0</v>
      </c>
      <c r="G148" s="163">
        <f t="shared" si="40"/>
        <v>0</v>
      </c>
      <c r="H148" s="167">
        <f t="shared" si="41"/>
        <v>0</v>
      </c>
      <c r="I148" s="317">
        <f t="shared" si="42"/>
        <v>0</v>
      </c>
      <c r="J148" s="162">
        <f t="shared" si="43"/>
        <v>0</v>
      </c>
      <c r="K148" s="162"/>
      <c r="L148" s="335"/>
      <c r="M148" s="162">
        <f t="shared" si="37"/>
        <v>0</v>
      </c>
      <c r="N148" s="335"/>
      <c r="O148" s="162">
        <f t="shared" si="38"/>
        <v>0</v>
      </c>
      <c r="P148" s="162">
        <f t="shared" si="39"/>
        <v>0</v>
      </c>
    </row>
    <row r="149" spans="2:16">
      <c r="B149" s="9" t="str">
        <f t="shared" si="44"/>
        <v/>
      </c>
      <c r="C149" s="157">
        <f>IF(D93="","-",+C148+1)</f>
        <v>2060</v>
      </c>
      <c r="D149" s="158">
        <f>IF(F148+SUM(E$101:E148)=D$92,F148,D$92-SUM(E$101:E148))</f>
        <v>0</v>
      </c>
      <c r="E149" s="165">
        <f t="shared" si="36"/>
        <v>0</v>
      </c>
      <c r="F149" s="163">
        <f t="shared" si="45"/>
        <v>0</v>
      </c>
      <c r="G149" s="163">
        <f t="shared" si="40"/>
        <v>0</v>
      </c>
      <c r="H149" s="167">
        <f t="shared" si="41"/>
        <v>0</v>
      </c>
      <c r="I149" s="317">
        <f t="shared" si="42"/>
        <v>0</v>
      </c>
      <c r="J149" s="162">
        <f t="shared" si="43"/>
        <v>0</v>
      </c>
      <c r="K149" s="162"/>
      <c r="L149" s="335"/>
      <c r="M149" s="162">
        <f t="shared" si="37"/>
        <v>0</v>
      </c>
      <c r="N149" s="335"/>
      <c r="O149" s="162">
        <f t="shared" si="38"/>
        <v>0</v>
      </c>
      <c r="P149" s="162">
        <f t="shared" si="39"/>
        <v>0</v>
      </c>
    </row>
    <row r="150" spans="2:16">
      <c r="B150" s="9" t="str">
        <f t="shared" si="44"/>
        <v/>
      </c>
      <c r="C150" s="157">
        <f>IF(D93="","-",+C149+1)</f>
        <v>2061</v>
      </c>
      <c r="D150" s="158">
        <f>IF(F149+SUM(E$101:E149)=D$92,F149,D$92-SUM(E$101:E149))</f>
        <v>0</v>
      </c>
      <c r="E150" s="165">
        <f t="shared" si="36"/>
        <v>0</v>
      </c>
      <c r="F150" s="163">
        <f t="shared" si="45"/>
        <v>0</v>
      </c>
      <c r="G150" s="163">
        <f t="shared" si="40"/>
        <v>0</v>
      </c>
      <c r="H150" s="167">
        <f t="shared" si="41"/>
        <v>0</v>
      </c>
      <c r="I150" s="317">
        <f t="shared" si="42"/>
        <v>0</v>
      </c>
      <c r="J150" s="162">
        <f t="shared" si="43"/>
        <v>0</v>
      </c>
      <c r="K150" s="162"/>
      <c r="L150" s="335"/>
      <c r="M150" s="162">
        <f t="shared" si="37"/>
        <v>0</v>
      </c>
      <c r="N150" s="335"/>
      <c r="O150" s="162">
        <f t="shared" si="38"/>
        <v>0</v>
      </c>
      <c r="P150" s="162">
        <f t="shared" si="39"/>
        <v>0</v>
      </c>
    </row>
    <row r="151" spans="2:16">
      <c r="B151" s="9" t="str">
        <f t="shared" si="44"/>
        <v/>
      </c>
      <c r="C151" s="157">
        <f>IF(D93="","-",+C150+1)</f>
        <v>2062</v>
      </c>
      <c r="D151" s="158">
        <f>IF(F150+SUM(E$101:E150)=D$92,F150,D$92-SUM(E$101:E150))</f>
        <v>0</v>
      </c>
      <c r="E151" s="165">
        <f t="shared" si="36"/>
        <v>0</v>
      </c>
      <c r="F151" s="163">
        <f t="shared" si="45"/>
        <v>0</v>
      </c>
      <c r="G151" s="163">
        <f t="shared" si="40"/>
        <v>0</v>
      </c>
      <c r="H151" s="167">
        <f t="shared" si="41"/>
        <v>0</v>
      </c>
      <c r="I151" s="317">
        <f t="shared" si="42"/>
        <v>0</v>
      </c>
      <c r="J151" s="162">
        <f t="shared" si="43"/>
        <v>0</v>
      </c>
      <c r="K151" s="162"/>
      <c r="L151" s="335"/>
      <c r="M151" s="162">
        <f t="shared" si="37"/>
        <v>0</v>
      </c>
      <c r="N151" s="335"/>
      <c r="O151" s="162">
        <f t="shared" si="38"/>
        <v>0</v>
      </c>
      <c r="P151" s="162">
        <f t="shared" si="39"/>
        <v>0</v>
      </c>
    </row>
    <row r="152" spans="2:16">
      <c r="B152" s="9" t="str">
        <f t="shared" si="44"/>
        <v/>
      </c>
      <c r="C152" s="157">
        <f>IF(D93="","-",+C151+1)</f>
        <v>2063</v>
      </c>
      <c r="D152" s="158">
        <f>IF(F151+SUM(E$101:E151)=D$92,F151,D$92-SUM(E$101:E151))</f>
        <v>0</v>
      </c>
      <c r="E152" s="165">
        <f t="shared" si="36"/>
        <v>0</v>
      </c>
      <c r="F152" s="163">
        <f t="shared" si="45"/>
        <v>0</v>
      </c>
      <c r="G152" s="163">
        <f t="shared" si="40"/>
        <v>0</v>
      </c>
      <c r="H152" s="167">
        <f t="shared" si="41"/>
        <v>0</v>
      </c>
      <c r="I152" s="317">
        <f t="shared" si="42"/>
        <v>0</v>
      </c>
      <c r="J152" s="162">
        <f t="shared" si="43"/>
        <v>0</v>
      </c>
      <c r="K152" s="162"/>
      <c r="L152" s="335"/>
      <c r="M152" s="162">
        <f t="shared" si="37"/>
        <v>0</v>
      </c>
      <c r="N152" s="335"/>
      <c r="O152" s="162">
        <f t="shared" si="38"/>
        <v>0</v>
      </c>
      <c r="P152" s="162">
        <f t="shared" si="39"/>
        <v>0</v>
      </c>
    </row>
    <row r="153" spans="2:16">
      <c r="B153" s="9" t="str">
        <f t="shared" si="44"/>
        <v/>
      </c>
      <c r="C153" s="157">
        <f>IF(D93="","-",+C152+1)</f>
        <v>2064</v>
      </c>
      <c r="D153" s="158">
        <f>IF(F152+SUM(E$101:E152)=D$92,F152,D$92-SUM(E$101:E152))</f>
        <v>0</v>
      </c>
      <c r="E153" s="165">
        <f t="shared" si="36"/>
        <v>0</v>
      </c>
      <c r="F153" s="163">
        <f t="shared" si="45"/>
        <v>0</v>
      </c>
      <c r="G153" s="163">
        <f t="shared" si="40"/>
        <v>0</v>
      </c>
      <c r="H153" s="167">
        <f t="shared" si="41"/>
        <v>0</v>
      </c>
      <c r="I153" s="317">
        <f t="shared" si="42"/>
        <v>0</v>
      </c>
      <c r="J153" s="162">
        <f t="shared" si="43"/>
        <v>0</v>
      </c>
      <c r="K153" s="162"/>
      <c r="L153" s="335"/>
      <c r="M153" s="162">
        <f t="shared" si="37"/>
        <v>0</v>
      </c>
      <c r="N153" s="335"/>
      <c r="O153" s="162">
        <f t="shared" si="38"/>
        <v>0</v>
      </c>
      <c r="P153" s="162">
        <f t="shared" si="39"/>
        <v>0</v>
      </c>
    </row>
    <row r="154" spans="2:16" ht="13.5" thickBot="1">
      <c r="B154" s="9" t="str">
        <f t="shared" si="44"/>
        <v/>
      </c>
      <c r="C154" s="168">
        <f>IF(D93="","-",+C153+1)</f>
        <v>2065</v>
      </c>
      <c r="D154" s="219">
        <f>IF(F153+SUM(E$101:E153)=D$92,F153,D$92-SUM(E$101:E153))</f>
        <v>0</v>
      </c>
      <c r="E154" s="377">
        <f t="shared" si="36"/>
        <v>0</v>
      </c>
      <c r="F154" s="169">
        <f t="shared" si="45"/>
        <v>0</v>
      </c>
      <c r="G154" s="169">
        <f t="shared" si="40"/>
        <v>0</v>
      </c>
      <c r="H154" s="171">
        <f t="shared" si="41"/>
        <v>0</v>
      </c>
      <c r="I154" s="318">
        <f t="shared" si="42"/>
        <v>0</v>
      </c>
      <c r="J154" s="173">
        <f t="shared" si="43"/>
        <v>0</v>
      </c>
      <c r="K154" s="162"/>
      <c r="L154" s="336"/>
      <c r="M154" s="173">
        <f t="shared" si="37"/>
        <v>0</v>
      </c>
      <c r="N154" s="336"/>
      <c r="O154" s="173">
        <f t="shared" si="38"/>
        <v>0</v>
      </c>
      <c r="P154" s="173">
        <f t="shared" si="39"/>
        <v>0</v>
      </c>
    </row>
    <row r="155" spans="2:16">
      <c r="C155" s="158" t="s">
        <v>72</v>
      </c>
      <c r="D155" s="115"/>
      <c r="E155" s="115">
        <f>SUM(E101:E154)</f>
        <v>22097</v>
      </c>
      <c r="F155" s="115"/>
      <c r="G155" s="115"/>
      <c r="H155" s="115">
        <f>SUM(H101:H154)</f>
        <v>77947.907974011658</v>
      </c>
      <c r="I155" s="115">
        <f>SUM(I101:I154)</f>
        <v>77947.907974011658</v>
      </c>
      <c r="J155" s="115">
        <f>SUM(J101:J154)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phoneticPr fontId="0" type="noConversion"/>
  <conditionalFormatting sqref="C17:C72">
    <cfRule type="cellIs" dxfId="35" priority="3" stopIfTrue="1" operator="equal">
      <formula>$I$10</formula>
    </cfRule>
  </conditionalFormatting>
  <conditionalFormatting sqref="C102:C152">
    <cfRule type="cellIs" dxfId="34" priority="4" stopIfTrue="1" operator="equal">
      <formula>$J$92</formula>
    </cfRule>
  </conditionalFormatting>
  <conditionalFormatting sqref="C153:C154">
    <cfRule type="cellIs" dxfId="33" priority="2" stopIfTrue="1" operator="equal">
      <formula>$J$92</formula>
    </cfRule>
  </conditionalFormatting>
  <conditionalFormatting sqref="C100:C101">
    <cfRule type="cellIs" dxfId="32" priority="1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A1:P162"/>
  <sheetViews>
    <sheetView view="pageBreakPreview" zoomScale="75" zoomScaleNormal="100" zoomScaleSheetLayoutView="75" workbookViewId="0">
      <selection activeCell="I22" sqref="I22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"&amp;RIGHT(MID(CELL("filename",$A$1),FIND("]",CELL("filename",$A$1))+1,256),2)&amp;" of "&amp;COUNT('P.001:P.xyz - blank'!$P$3)-1</f>
        <v>PSO Project 14 of 28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275</v>
      </c>
      <c r="L5" s="119"/>
      <c r="M5" s="120"/>
      <c r="N5" s="121">
        <f>VLOOKUP(I10,C17:I72,5)</f>
        <v>111352.31037205369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276</v>
      </c>
      <c r="L6" s="125"/>
      <c r="M6" s="4"/>
      <c r="N6" s="126">
        <f>VLOOKUP(I10,C17:I72,6)</f>
        <v>111352.31037205369</v>
      </c>
      <c r="O6" s="1"/>
      <c r="P6" s="1"/>
    </row>
    <row r="7" spans="1:16" ht="13.5" thickBot="1">
      <c r="C7" s="127" t="s">
        <v>41</v>
      </c>
      <c r="D7" s="227" t="s">
        <v>232</v>
      </c>
      <c r="E7" s="405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 t="str">
        <f>IF(D10&lt;100000,"DOES NOT MEET SPP $100,000 MINIMUM INVESTMENT FOR REGIONAL BPU SHARING.","")</f>
        <v/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43</v>
      </c>
      <c r="D9" s="382" t="s">
        <v>231</v>
      </c>
      <c r="E9" s="427" t="s">
        <v>312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1035552</v>
      </c>
      <c r="E10" s="64" t="s">
        <v>46</v>
      </c>
      <c r="F10" s="137"/>
      <c r="G10" s="139"/>
      <c r="H10" s="139"/>
      <c r="I10" s="140">
        <f>+PSO.WS.F.BPU.ATRR.Projected!L19</f>
        <v>2020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2013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2</v>
      </c>
      <c r="E12" s="141" t="s">
        <v>51</v>
      </c>
      <c r="F12" s="139"/>
      <c r="G12" s="7"/>
      <c r="H12" s="7"/>
      <c r="I12" s="145">
        <f>PSO.WS.F.BPU.ATRR.Projected!$F$81</f>
        <v>0.10800477690995318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42</v>
      </c>
      <c r="E13" s="141" t="s">
        <v>54</v>
      </c>
      <c r="F13" s="139"/>
      <c r="G13" s="7"/>
      <c r="H13" s="7"/>
      <c r="I13" s="145">
        <f>IF(G5="",I12,PSO.WS.F.BPU.ATRR.Projected!$F$80)</f>
        <v>0.10800477690995318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24656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277</v>
      </c>
      <c r="H15" s="362" t="s">
        <v>278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1" t="s">
        <v>100</v>
      </c>
      <c r="O16" s="156" t="s">
        <v>100</v>
      </c>
      <c r="P16" s="4"/>
    </row>
    <row r="17" spans="2:16">
      <c r="B17" s="9"/>
      <c r="C17" s="157">
        <f>IF(D11= "","-",D11)</f>
        <v>2013</v>
      </c>
      <c r="D17" s="426">
        <v>5562500</v>
      </c>
      <c r="E17" s="445">
        <v>89142.628205128203</v>
      </c>
      <c r="F17" s="426">
        <v>5473357.371794872</v>
      </c>
      <c r="G17" s="445">
        <v>870775.06277038739</v>
      </c>
      <c r="H17" s="424">
        <v>870775.06277038739</v>
      </c>
      <c r="I17" s="160">
        <v>0</v>
      </c>
      <c r="J17" s="175"/>
      <c r="K17" s="337">
        <f t="shared" ref="K17:K22" si="0">G17</f>
        <v>870775.06277038739</v>
      </c>
      <c r="L17" s="439">
        <f t="shared" ref="L17:L22" si="1">IF(K17&lt;&gt;0,+G17-K17,0)</f>
        <v>0</v>
      </c>
      <c r="M17" s="337">
        <f t="shared" ref="M17:M22" si="2">H17</f>
        <v>870775.06277038739</v>
      </c>
      <c r="N17" s="161">
        <f t="shared" ref="N17:N22" si="3">IF(M17&lt;&gt;0,+H17-M17,0)</f>
        <v>0</v>
      </c>
      <c r="O17" s="160">
        <f t="shared" ref="O17:O22" si="4">+N17-L17</f>
        <v>0</v>
      </c>
      <c r="P17" s="4"/>
    </row>
    <row r="18" spans="2:16">
      <c r="B18" s="9" t="str">
        <f>IF(D18=F17,"","IU")</f>
        <v>IU</v>
      </c>
      <c r="C18" s="157">
        <f>IF(D11="","-",+C17+1)</f>
        <v>2014</v>
      </c>
      <c r="D18" s="437">
        <v>5473357</v>
      </c>
      <c r="E18" s="436">
        <v>19910</v>
      </c>
      <c r="F18" s="437">
        <v>5453447</v>
      </c>
      <c r="G18" s="436">
        <v>770625</v>
      </c>
      <c r="H18" s="438">
        <v>770625</v>
      </c>
      <c r="I18" s="160">
        <f>H18-G18</f>
        <v>0</v>
      </c>
      <c r="J18" s="175"/>
      <c r="K18" s="338">
        <f t="shared" si="0"/>
        <v>770625</v>
      </c>
      <c r="L18" s="439">
        <f t="shared" si="1"/>
        <v>0</v>
      </c>
      <c r="M18" s="338">
        <f t="shared" si="2"/>
        <v>770625</v>
      </c>
      <c r="N18" s="162">
        <f t="shared" si="3"/>
        <v>0</v>
      </c>
      <c r="O18" s="160">
        <f t="shared" si="4"/>
        <v>0</v>
      </c>
      <c r="P18" s="4"/>
    </row>
    <row r="19" spans="2:16">
      <c r="B19" s="9" t="str">
        <f>IF(D19=F18,"","IU")</f>
        <v/>
      </c>
      <c r="C19" s="157">
        <f>IF(D11="","-",+C18+1)</f>
        <v>2015</v>
      </c>
      <c r="D19" s="437">
        <v>5453447</v>
      </c>
      <c r="E19" s="436">
        <v>23012.266666666666</v>
      </c>
      <c r="F19" s="437">
        <v>5433533</v>
      </c>
      <c r="G19" s="436">
        <v>769045</v>
      </c>
      <c r="H19" s="438">
        <v>769045</v>
      </c>
      <c r="I19" s="160">
        <f t="shared" ref="I19:I71" si="5">H19-G19</f>
        <v>0</v>
      </c>
      <c r="J19" s="175"/>
      <c r="K19" s="338">
        <f t="shared" si="0"/>
        <v>769045</v>
      </c>
      <c r="L19" s="439">
        <f t="shared" si="1"/>
        <v>0</v>
      </c>
      <c r="M19" s="338">
        <f t="shared" si="2"/>
        <v>769045</v>
      </c>
      <c r="N19" s="162">
        <f t="shared" si="3"/>
        <v>0</v>
      </c>
      <c r="O19" s="160">
        <f t="shared" si="4"/>
        <v>0</v>
      </c>
      <c r="P19" s="4"/>
    </row>
    <row r="20" spans="2:16">
      <c r="B20" s="9" t="str">
        <f t="shared" ref="B20:B72" si="6">IF(D20=F19,"","IU")</f>
        <v>IU</v>
      </c>
      <c r="C20" s="157">
        <f>IF(D11="","-",+C19+1)</f>
        <v>2016</v>
      </c>
      <c r="D20" s="437">
        <v>906584.91025641025</v>
      </c>
      <c r="E20" s="436">
        <v>19914.461538461539</v>
      </c>
      <c r="F20" s="437">
        <v>886670.44871794875</v>
      </c>
      <c r="G20" s="436">
        <v>136209.46153846153</v>
      </c>
      <c r="H20" s="438">
        <v>136209.46153846153</v>
      </c>
      <c r="I20" s="160">
        <f t="shared" si="5"/>
        <v>0</v>
      </c>
      <c r="J20" s="175"/>
      <c r="K20" s="338">
        <f t="shared" si="0"/>
        <v>136209.46153846153</v>
      </c>
      <c r="L20" s="439">
        <f t="shared" si="1"/>
        <v>0</v>
      </c>
      <c r="M20" s="338">
        <f t="shared" si="2"/>
        <v>136209.46153846153</v>
      </c>
      <c r="N20" s="162">
        <f t="shared" si="3"/>
        <v>0</v>
      </c>
      <c r="O20" s="160">
        <f t="shared" si="4"/>
        <v>0</v>
      </c>
      <c r="P20" s="4"/>
    </row>
    <row r="21" spans="2:16">
      <c r="B21" s="9" t="str">
        <f t="shared" si="6"/>
        <v>IU</v>
      </c>
      <c r="C21" s="157">
        <f>IF(D11="","-",+C20+1)</f>
        <v>2017</v>
      </c>
      <c r="D21" s="437">
        <v>884072.91025641025</v>
      </c>
      <c r="E21" s="436">
        <v>22512</v>
      </c>
      <c r="F21" s="437">
        <v>861560.91025641025</v>
      </c>
      <c r="G21" s="436">
        <v>132155</v>
      </c>
      <c r="H21" s="438">
        <v>132155</v>
      </c>
      <c r="I21" s="160">
        <v>0</v>
      </c>
      <c r="J21" s="175"/>
      <c r="K21" s="338">
        <f t="shared" si="0"/>
        <v>132155</v>
      </c>
      <c r="L21" s="439">
        <f t="shared" si="1"/>
        <v>0</v>
      </c>
      <c r="M21" s="338">
        <f t="shared" si="2"/>
        <v>132155</v>
      </c>
      <c r="N21" s="162">
        <f t="shared" si="3"/>
        <v>0</v>
      </c>
      <c r="O21" s="160">
        <f t="shared" si="4"/>
        <v>0</v>
      </c>
      <c r="P21" s="4"/>
    </row>
    <row r="22" spans="2:16">
      <c r="B22" s="9" t="str">
        <f t="shared" si="6"/>
        <v>IU</v>
      </c>
      <c r="C22" s="157">
        <f>IF(D11="","-",+C21+1)</f>
        <v>2018</v>
      </c>
      <c r="D22" s="437">
        <v>861060.64358974365</v>
      </c>
      <c r="E22" s="436">
        <v>23012.266666666666</v>
      </c>
      <c r="F22" s="437">
        <v>838048.37692307692</v>
      </c>
      <c r="G22" s="436">
        <v>136430.26666666666</v>
      </c>
      <c r="H22" s="438">
        <v>136430.26666666666</v>
      </c>
      <c r="I22" s="160">
        <f t="shared" si="5"/>
        <v>0</v>
      </c>
      <c r="J22" s="175"/>
      <c r="K22" s="338">
        <f t="shared" si="0"/>
        <v>136430.26666666666</v>
      </c>
      <c r="L22" s="439">
        <f t="shared" si="1"/>
        <v>0</v>
      </c>
      <c r="M22" s="338">
        <f t="shared" si="2"/>
        <v>136430.26666666666</v>
      </c>
      <c r="N22" s="162">
        <f t="shared" si="3"/>
        <v>0</v>
      </c>
      <c r="O22" s="160">
        <f t="shared" si="4"/>
        <v>0</v>
      </c>
      <c r="P22" s="4"/>
    </row>
    <row r="23" spans="2:16">
      <c r="B23" s="9" t="str">
        <f t="shared" si="6"/>
        <v/>
      </c>
      <c r="C23" s="157">
        <f>IF(D11="","-",+C22+1)</f>
        <v>2019</v>
      </c>
      <c r="D23" s="437">
        <v>838048.37692307692</v>
      </c>
      <c r="E23" s="436">
        <v>23012.266666666666</v>
      </c>
      <c r="F23" s="437">
        <v>815036.1102564102</v>
      </c>
      <c r="G23" s="436">
        <v>133315.26666666666</v>
      </c>
      <c r="H23" s="438">
        <v>133315.26666666666</v>
      </c>
      <c r="I23" s="160">
        <f t="shared" si="5"/>
        <v>0</v>
      </c>
      <c r="J23" s="160"/>
      <c r="K23" s="338">
        <f t="shared" ref="K23" si="7">G23</f>
        <v>133315.26666666666</v>
      </c>
      <c r="L23" s="439">
        <f t="shared" ref="L23" si="8">IF(K23&lt;&gt;0,+G23-K23,0)</f>
        <v>0</v>
      </c>
      <c r="M23" s="338">
        <f t="shared" ref="M23" si="9">H23</f>
        <v>133315.26666666666</v>
      </c>
      <c r="N23" s="162">
        <f t="shared" ref="N23" si="10">IF(M23&lt;&gt;0,+H23-M23,0)</f>
        <v>0</v>
      </c>
      <c r="O23" s="160">
        <f t="shared" ref="O23" si="11">+N23-L23</f>
        <v>0</v>
      </c>
      <c r="P23" s="4"/>
    </row>
    <row r="24" spans="2:16">
      <c r="B24" s="9" t="str">
        <f t="shared" si="6"/>
        <v/>
      </c>
      <c r="C24" s="157">
        <f>IF(D11="","-",+C23+1)</f>
        <v>2020</v>
      </c>
      <c r="D24" s="163">
        <f>IF(F23+SUM(E$17:E23)=D$10,F23,D$10-SUM(E$17:E23))</f>
        <v>815036.1102564102</v>
      </c>
      <c r="E24" s="164">
        <f t="shared" ref="E24:E71" si="12">IF(+$I$14&lt;F23,$I$14,D24)</f>
        <v>24656</v>
      </c>
      <c r="F24" s="163">
        <f t="shared" ref="F24:F71" si="13">+D24-E24</f>
        <v>790380.1102564102</v>
      </c>
      <c r="G24" s="165">
        <f t="shared" ref="G24:G71" si="14">(D24+F24)/2*I$12+E24</f>
        <v>111352.31037205369</v>
      </c>
      <c r="H24" s="147">
        <f t="shared" ref="H24:H71" si="15">+(D24+F24)/2*I$13+E24</f>
        <v>111352.31037205369</v>
      </c>
      <c r="I24" s="160">
        <f t="shared" si="5"/>
        <v>0</v>
      </c>
      <c r="J24" s="160"/>
      <c r="K24" s="335"/>
      <c r="L24" s="162">
        <f t="shared" ref="L24:L72" si="16">IF(K24&lt;&gt;0,+G24-K24,0)</f>
        <v>0</v>
      </c>
      <c r="M24" s="335"/>
      <c r="N24" s="162">
        <f t="shared" ref="N24:N72" si="17">IF(M24&lt;&gt;0,+H24-M24,0)</f>
        <v>0</v>
      </c>
      <c r="O24" s="162">
        <f t="shared" ref="O24:O72" si="18">+N24-L24</f>
        <v>0</v>
      </c>
      <c r="P24" s="4"/>
    </row>
    <row r="25" spans="2:16">
      <c r="B25" s="9" t="str">
        <f t="shared" si="6"/>
        <v/>
      </c>
      <c r="C25" s="157">
        <f>IF(D11="","-",+C24+1)</f>
        <v>2021</v>
      </c>
      <c r="D25" s="163">
        <f>IF(F24+SUM(E$17:E24)=D$10,F24,D$10-SUM(E$17:E24))</f>
        <v>790380.1102564102</v>
      </c>
      <c r="E25" s="164">
        <f t="shared" si="12"/>
        <v>24656</v>
      </c>
      <c r="F25" s="163">
        <f t="shared" si="13"/>
        <v>765724.1102564102</v>
      </c>
      <c r="G25" s="165">
        <f t="shared" si="14"/>
        <v>108689.34459256187</v>
      </c>
      <c r="H25" s="147">
        <f t="shared" si="15"/>
        <v>108689.34459256187</v>
      </c>
      <c r="I25" s="160">
        <f t="shared" si="5"/>
        <v>0</v>
      </c>
      <c r="J25" s="160"/>
      <c r="K25" s="335"/>
      <c r="L25" s="162">
        <f t="shared" si="16"/>
        <v>0</v>
      </c>
      <c r="M25" s="335"/>
      <c r="N25" s="162">
        <f t="shared" si="17"/>
        <v>0</v>
      </c>
      <c r="O25" s="162">
        <f t="shared" si="18"/>
        <v>0</v>
      </c>
      <c r="P25" s="4"/>
    </row>
    <row r="26" spans="2:16">
      <c r="B26" s="9" t="str">
        <f t="shared" si="6"/>
        <v/>
      </c>
      <c r="C26" s="157">
        <f>IF(D11="","-",+C25+1)</f>
        <v>2022</v>
      </c>
      <c r="D26" s="163">
        <f>IF(F25+SUM(E$17:E25)=D$10,F25,D$10-SUM(E$17:E25))</f>
        <v>765724.1102564102</v>
      </c>
      <c r="E26" s="164">
        <f t="shared" si="12"/>
        <v>24656</v>
      </c>
      <c r="F26" s="163">
        <f t="shared" si="13"/>
        <v>741068.1102564102</v>
      </c>
      <c r="G26" s="165">
        <f t="shared" si="14"/>
        <v>106026.37881307007</v>
      </c>
      <c r="H26" s="147">
        <f t="shared" si="15"/>
        <v>106026.37881307007</v>
      </c>
      <c r="I26" s="160">
        <f t="shared" si="5"/>
        <v>0</v>
      </c>
      <c r="J26" s="160"/>
      <c r="K26" s="335"/>
      <c r="L26" s="162">
        <f t="shared" si="16"/>
        <v>0</v>
      </c>
      <c r="M26" s="335"/>
      <c r="N26" s="162">
        <f t="shared" si="17"/>
        <v>0</v>
      </c>
      <c r="O26" s="162">
        <f t="shared" si="18"/>
        <v>0</v>
      </c>
      <c r="P26" s="4"/>
    </row>
    <row r="27" spans="2:16">
      <c r="B27" s="9" t="str">
        <f t="shared" si="6"/>
        <v/>
      </c>
      <c r="C27" s="157">
        <f>IF(D11="","-",+C26+1)</f>
        <v>2023</v>
      </c>
      <c r="D27" s="163">
        <f>IF(F26+SUM(E$17:E26)=D$10,F26,D$10-SUM(E$17:E26))</f>
        <v>741068.1102564102</v>
      </c>
      <c r="E27" s="164">
        <f t="shared" si="12"/>
        <v>24656</v>
      </c>
      <c r="F27" s="163">
        <f t="shared" si="13"/>
        <v>716412.1102564102</v>
      </c>
      <c r="G27" s="165">
        <f t="shared" si="14"/>
        <v>103363.41303357827</v>
      </c>
      <c r="H27" s="147">
        <f t="shared" si="15"/>
        <v>103363.41303357827</v>
      </c>
      <c r="I27" s="160">
        <f t="shared" si="5"/>
        <v>0</v>
      </c>
      <c r="J27" s="160"/>
      <c r="K27" s="335"/>
      <c r="L27" s="162">
        <f t="shared" si="16"/>
        <v>0</v>
      </c>
      <c r="M27" s="335"/>
      <c r="N27" s="162">
        <f t="shared" si="17"/>
        <v>0</v>
      </c>
      <c r="O27" s="162">
        <f t="shared" si="18"/>
        <v>0</v>
      </c>
      <c r="P27" s="4"/>
    </row>
    <row r="28" spans="2:16">
      <c r="B28" s="9" t="str">
        <f t="shared" si="6"/>
        <v/>
      </c>
      <c r="C28" s="157">
        <f>IF(D11="","-",+C27+1)</f>
        <v>2024</v>
      </c>
      <c r="D28" s="163">
        <f>IF(F27+SUM(E$17:E27)=D$10,F27,D$10-SUM(E$17:E27))</f>
        <v>716412.1102564102</v>
      </c>
      <c r="E28" s="164">
        <f t="shared" si="12"/>
        <v>24656</v>
      </c>
      <c r="F28" s="163">
        <f t="shared" si="13"/>
        <v>691756.1102564102</v>
      </c>
      <c r="G28" s="165">
        <f t="shared" si="14"/>
        <v>100700.44725408647</v>
      </c>
      <c r="H28" s="147">
        <f t="shared" si="15"/>
        <v>100700.44725408647</v>
      </c>
      <c r="I28" s="160">
        <f t="shared" si="5"/>
        <v>0</v>
      </c>
      <c r="J28" s="160"/>
      <c r="K28" s="335"/>
      <c r="L28" s="162">
        <f t="shared" si="16"/>
        <v>0</v>
      </c>
      <c r="M28" s="335"/>
      <c r="N28" s="162">
        <f t="shared" si="17"/>
        <v>0</v>
      </c>
      <c r="O28" s="162">
        <f t="shared" si="18"/>
        <v>0</v>
      </c>
      <c r="P28" s="4"/>
    </row>
    <row r="29" spans="2:16">
      <c r="B29" s="9" t="str">
        <f t="shared" si="6"/>
        <v/>
      </c>
      <c r="C29" s="157">
        <f>IF(D11="","-",+C28+1)</f>
        <v>2025</v>
      </c>
      <c r="D29" s="163">
        <f>IF(F28+SUM(E$17:E28)=D$10,F28,D$10-SUM(E$17:E28))</f>
        <v>691756.1102564102</v>
      </c>
      <c r="E29" s="164">
        <f t="shared" si="12"/>
        <v>24656</v>
      </c>
      <c r="F29" s="163">
        <f t="shared" si="13"/>
        <v>667100.1102564102</v>
      </c>
      <c r="G29" s="165">
        <f t="shared" si="14"/>
        <v>98037.48147459465</v>
      </c>
      <c r="H29" s="147">
        <f t="shared" si="15"/>
        <v>98037.48147459465</v>
      </c>
      <c r="I29" s="160">
        <f t="shared" si="5"/>
        <v>0</v>
      </c>
      <c r="J29" s="160"/>
      <c r="K29" s="335"/>
      <c r="L29" s="162">
        <f t="shared" si="16"/>
        <v>0</v>
      </c>
      <c r="M29" s="335"/>
      <c r="N29" s="162">
        <f t="shared" si="17"/>
        <v>0</v>
      </c>
      <c r="O29" s="162">
        <f t="shared" si="18"/>
        <v>0</v>
      </c>
      <c r="P29" s="4"/>
    </row>
    <row r="30" spans="2:16">
      <c r="B30" s="9" t="str">
        <f t="shared" si="6"/>
        <v/>
      </c>
      <c r="C30" s="157">
        <f>IF(D11="","-",+C29+1)</f>
        <v>2026</v>
      </c>
      <c r="D30" s="163">
        <f>IF(F29+SUM(E$17:E29)=D$10,F29,D$10-SUM(E$17:E29))</f>
        <v>667100.1102564102</v>
      </c>
      <c r="E30" s="164">
        <f t="shared" si="12"/>
        <v>24656</v>
      </c>
      <c r="F30" s="163">
        <f t="shared" si="13"/>
        <v>642444.1102564102</v>
      </c>
      <c r="G30" s="165">
        <f t="shared" si="14"/>
        <v>95374.515695102848</v>
      </c>
      <c r="H30" s="147">
        <f t="shared" si="15"/>
        <v>95374.515695102848</v>
      </c>
      <c r="I30" s="160">
        <f t="shared" si="5"/>
        <v>0</v>
      </c>
      <c r="J30" s="160"/>
      <c r="K30" s="335"/>
      <c r="L30" s="162">
        <f t="shared" si="16"/>
        <v>0</v>
      </c>
      <c r="M30" s="335"/>
      <c r="N30" s="162">
        <f t="shared" si="17"/>
        <v>0</v>
      </c>
      <c r="O30" s="162">
        <f t="shared" si="18"/>
        <v>0</v>
      </c>
      <c r="P30" s="4"/>
    </row>
    <row r="31" spans="2:16">
      <c r="B31" s="9" t="str">
        <f t="shared" si="6"/>
        <v/>
      </c>
      <c r="C31" s="157">
        <f>IF(D11="","-",+C30+1)</f>
        <v>2027</v>
      </c>
      <c r="D31" s="163">
        <f>IF(F30+SUM(E$17:E30)=D$10,F30,D$10-SUM(E$17:E30))</f>
        <v>642444.1102564102</v>
      </c>
      <c r="E31" s="164">
        <f t="shared" si="12"/>
        <v>24656</v>
      </c>
      <c r="F31" s="163">
        <f t="shared" si="13"/>
        <v>617788.1102564102</v>
      </c>
      <c r="G31" s="165">
        <f t="shared" si="14"/>
        <v>92711.549915611045</v>
      </c>
      <c r="H31" s="147">
        <f t="shared" si="15"/>
        <v>92711.549915611045</v>
      </c>
      <c r="I31" s="160">
        <f t="shared" si="5"/>
        <v>0</v>
      </c>
      <c r="J31" s="160"/>
      <c r="K31" s="335"/>
      <c r="L31" s="162">
        <f t="shared" si="16"/>
        <v>0</v>
      </c>
      <c r="M31" s="335"/>
      <c r="N31" s="162">
        <f t="shared" si="17"/>
        <v>0</v>
      </c>
      <c r="O31" s="162">
        <f t="shared" si="18"/>
        <v>0</v>
      </c>
      <c r="P31" s="4"/>
    </row>
    <row r="32" spans="2:16">
      <c r="B32" s="9" t="str">
        <f t="shared" si="6"/>
        <v/>
      </c>
      <c r="C32" s="157">
        <f>IF(D11="","-",+C31+1)</f>
        <v>2028</v>
      </c>
      <c r="D32" s="163">
        <f>IF(F31+SUM(E$17:E31)=D$10,F31,D$10-SUM(E$17:E31))</f>
        <v>617788.1102564102</v>
      </c>
      <c r="E32" s="164">
        <f t="shared" si="12"/>
        <v>24656</v>
      </c>
      <c r="F32" s="163">
        <f t="shared" si="13"/>
        <v>593132.1102564102</v>
      </c>
      <c r="G32" s="165">
        <f t="shared" si="14"/>
        <v>90048.584136119229</v>
      </c>
      <c r="H32" s="147">
        <f t="shared" si="15"/>
        <v>90048.584136119229</v>
      </c>
      <c r="I32" s="160">
        <f t="shared" si="5"/>
        <v>0</v>
      </c>
      <c r="J32" s="160"/>
      <c r="K32" s="335"/>
      <c r="L32" s="162">
        <f t="shared" si="16"/>
        <v>0</v>
      </c>
      <c r="M32" s="335"/>
      <c r="N32" s="162">
        <f t="shared" si="17"/>
        <v>0</v>
      </c>
      <c r="O32" s="162">
        <f t="shared" si="18"/>
        <v>0</v>
      </c>
      <c r="P32" s="4"/>
    </row>
    <row r="33" spans="2:16">
      <c r="B33" s="9" t="str">
        <f t="shared" si="6"/>
        <v/>
      </c>
      <c r="C33" s="157">
        <f>IF(D11="","-",+C32+1)</f>
        <v>2029</v>
      </c>
      <c r="D33" s="163">
        <f>IF(F32+SUM(E$17:E32)=D$10,F32,D$10-SUM(E$17:E32))</f>
        <v>593132.1102564102</v>
      </c>
      <c r="E33" s="164">
        <f t="shared" si="12"/>
        <v>24656</v>
      </c>
      <c r="F33" s="163">
        <f t="shared" si="13"/>
        <v>568476.1102564102</v>
      </c>
      <c r="G33" s="165">
        <f t="shared" si="14"/>
        <v>87385.618356627441</v>
      </c>
      <c r="H33" s="147">
        <f t="shared" si="15"/>
        <v>87385.618356627441</v>
      </c>
      <c r="I33" s="160">
        <f t="shared" si="5"/>
        <v>0</v>
      </c>
      <c r="J33" s="160"/>
      <c r="K33" s="335"/>
      <c r="L33" s="162">
        <f t="shared" si="16"/>
        <v>0</v>
      </c>
      <c r="M33" s="335"/>
      <c r="N33" s="162">
        <f t="shared" si="17"/>
        <v>0</v>
      </c>
      <c r="O33" s="162">
        <f t="shared" si="18"/>
        <v>0</v>
      </c>
      <c r="P33" s="4"/>
    </row>
    <row r="34" spans="2:16">
      <c r="B34" s="9" t="str">
        <f t="shared" si="6"/>
        <v/>
      </c>
      <c r="C34" s="157">
        <f>IF(D11="","-",+C33+1)</f>
        <v>2030</v>
      </c>
      <c r="D34" s="163">
        <f>IF(F33+SUM(E$17:E33)=D$10,F33,D$10-SUM(E$17:E33))</f>
        <v>568476.1102564102</v>
      </c>
      <c r="E34" s="164">
        <f t="shared" si="12"/>
        <v>24656</v>
      </c>
      <c r="F34" s="163">
        <f t="shared" si="13"/>
        <v>543820.1102564102</v>
      </c>
      <c r="G34" s="165">
        <f t="shared" si="14"/>
        <v>84722.652577135625</v>
      </c>
      <c r="H34" s="147">
        <f t="shared" si="15"/>
        <v>84722.652577135625</v>
      </c>
      <c r="I34" s="160">
        <f t="shared" si="5"/>
        <v>0</v>
      </c>
      <c r="J34" s="160"/>
      <c r="K34" s="335"/>
      <c r="L34" s="162">
        <f t="shared" si="16"/>
        <v>0</v>
      </c>
      <c r="M34" s="335"/>
      <c r="N34" s="162">
        <f t="shared" si="17"/>
        <v>0</v>
      </c>
      <c r="O34" s="162">
        <f t="shared" si="18"/>
        <v>0</v>
      </c>
      <c r="P34" s="4"/>
    </row>
    <row r="35" spans="2:16">
      <c r="B35" s="9" t="str">
        <f t="shared" si="6"/>
        <v/>
      </c>
      <c r="C35" s="157">
        <f>IF(D11="","-",+C34+1)</f>
        <v>2031</v>
      </c>
      <c r="D35" s="163">
        <f>IF(F34+SUM(E$17:E34)=D$10,F34,D$10-SUM(E$17:E34))</f>
        <v>543820.1102564102</v>
      </c>
      <c r="E35" s="164">
        <f t="shared" si="12"/>
        <v>24656</v>
      </c>
      <c r="F35" s="163">
        <f t="shared" si="13"/>
        <v>519164.1102564102</v>
      </c>
      <c r="G35" s="165">
        <f t="shared" si="14"/>
        <v>82059.686797643823</v>
      </c>
      <c r="H35" s="147">
        <f t="shared" si="15"/>
        <v>82059.686797643823</v>
      </c>
      <c r="I35" s="160">
        <f t="shared" si="5"/>
        <v>0</v>
      </c>
      <c r="J35" s="160"/>
      <c r="K35" s="335"/>
      <c r="L35" s="162">
        <f t="shared" si="16"/>
        <v>0</v>
      </c>
      <c r="M35" s="335"/>
      <c r="N35" s="162">
        <f t="shared" si="17"/>
        <v>0</v>
      </c>
      <c r="O35" s="162">
        <f t="shared" si="18"/>
        <v>0</v>
      </c>
      <c r="P35" s="4"/>
    </row>
    <row r="36" spans="2:16">
      <c r="B36" s="9" t="str">
        <f t="shared" si="6"/>
        <v/>
      </c>
      <c r="C36" s="157">
        <f>IF(D11="","-",+C35+1)</f>
        <v>2032</v>
      </c>
      <c r="D36" s="163">
        <f>IF(F35+SUM(E$17:E35)=D$10,F35,D$10-SUM(E$17:E35))</f>
        <v>519164.1102564102</v>
      </c>
      <c r="E36" s="164">
        <f t="shared" si="12"/>
        <v>24656</v>
      </c>
      <c r="F36" s="163">
        <f t="shared" si="13"/>
        <v>494508.1102564102</v>
      </c>
      <c r="G36" s="165">
        <f t="shared" si="14"/>
        <v>79396.72101815202</v>
      </c>
      <c r="H36" s="147">
        <f t="shared" si="15"/>
        <v>79396.72101815202</v>
      </c>
      <c r="I36" s="160">
        <f t="shared" si="5"/>
        <v>0</v>
      </c>
      <c r="J36" s="160"/>
      <c r="K36" s="335"/>
      <c r="L36" s="162">
        <f t="shared" si="16"/>
        <v>0</v>
      </c>
      <c r="M36" s="335"/>
      <c r="N36" s="162">
        <f t="shared" si="17"/>
        <v>0</v>
      </c>
      <c r="O36" s="162">
        <f t="shared" si="18"/>
        <v>0</v>
      </c>
      <c r="P36" s="4"/>
    </row>
    <row r="37" spans="2:16">
      <c r="B37" s="9" t="str">
        <f t="shared" si="6"/>
        <v/>
      </c>
      <c r="C37" s="157">
        <f>IF(D11="","-",+C36+1)</f>
        <v>2033</v>
      </c>
      <c r="D37" s="163">
        <f>IF(F36+SUM(E$17:E36)=D$10,F36,D$10-SUM(E$17:E36))</f>
        <v>494508.1102564102</v>
      </c>
      <c r="E37" s="164">
        <f t="shared" si="12"/>
        <v>24656</v>
      </c>
      <c r="F37" s="163">
        <f t="shared" si="13"/>
        <v>469852.1102564102</v>
      </c>
      <c r="G37" s="165">
        <f t="shared" si="14"/>
        <v>76733.755238660204</v>
      </c>
      <c r="H37" s="147">
        <f t="shared" si="15"/>
        <v>76733.755238660204</v>
      </c>
      <c r="I37" s="160">
        <f t="shared" si="5"/>
        <v>0</v>
      </c>
      <c r="J37" s="160"/>
      <c r="K37" s="335"/>
      <c r="L37" s="162">
        <f t="shared" si="16"/>
        <v>0</v>
      </c>
      <c r="M37" s="335"/>
      <c r="N37" s="162">
        <f t="shared" si="17"/>
        <v>0</v>
      </c>
      <c r="O37" s="162">
        <f t="shared" si="18"/>
        <v>0</v>
      </c>
      <c r="P37" s="4"/>
    </row>
    <row r="38" spans="2:16">
      <c r="B38" s="9" t="str">
        <f t="shared" si="6"/>
        <v/>
      </c>
      <c r="C38" s="157">
        <f>IF(D11="","-",+C37+1)</f>
        <v>2034</v>
      </c>
      <c r="D38" s="163">
        <f>IF(F37+SUM(E$17:E37)=D$10,F37,D$10-SUM(E$17:E37))</f>
        <v>469852.1102564102</v>
      </c>
      <c r="E38" s="164">
        <f t="shared" si="12"/>
        <v>24656</v>
      </c>
      <c r="F38" s="163">
        <f t="shared" si="13"/>
        <v>445196.1102564102</v>
      </c>
      <c r="G38" s="165">
        <f t="shared" si="14"/>
        <v>74070.789459168402</v>
      </c>
      <c r="H38" s="147">
        <f t="shared" si="15"/>
        <v>74070.789459168402</v>
      </c>
      <c r="I38" s="160">
        <f t="shared" si="5"/>
        <v>0</v>
      </c>
      <c r="J38" s="160"/>
      <c r="K38" s="335"/>
      <c r="L38" s="162">
        <f t="shared" si="16"/>
        <v>0</v>
      </c>
      <c r="M38" s="335"/>
      <c r="N38" s="162">
        <f t="shared" si="17"/>
        <v>0</v>
      </c>
      <c r="O38" s="162">
        <f t="shared" si="18"/>
        <v>0</v>
      </c>
      <c r="P38" s="4"/>
    </row>
    <row r="39" spans="2:16">
      <c r="B39" s="9" t="str">
        <f t="shared" si="6"/>
        <v/>
      </c>
      <c r="C39" s="157">
        <f>IF(D11="","-",+C38+1)</f>
        <v>2035</v>
      </c>
      <c r="D39" s="163">
        <f>IF(F38+SUM(E$17:E38)=D$10,F38,D$10-SUM(E$17:E38))</f>
        <v>445196.1102564102</v>
      </c>
      <c r="E39" s="164">
        <f t="shared" si="12"/>
        <v>24656</v>
      </c>
      <c r="F39" s="163">
        <f t="shared" si="13"/>
        <v>420540.1102564102</v>
      </c>
      <c r="G39" s="165">
        <f t="shared" si="14"/>
        <v>71407.8236796766</v>
      </c>
      <c r="H39" s="147">
        <f t="shared" si="15"/>
        <v>71407.8236796766</v>
      </c>
      <c r="I39" s="160">
        <f t="shared" si="5"/>
        <v>0</v>
      </c>
      <c r="J39" s="160"/>
      <c r="K39" s="335"/>
      <c r="L39" s="162">
        <f t="shared" si="16"/>
        <v>0</v>
      </c>
      <c r="M39" s="335"/>
      <c r="N39" s="162">
        <f t="shared" si="17"/>
        <v>0</v>
      </c>
      <c r="O39" s="162">
        <f t="shared" si="18"/>
        <v>0</v>
      </c>
      <c r="P39" s="4"/>
    </row>
    <row r="40" spans="2:16">
      <c r="B40" s="9" t="str">
        <f t="shared" si="6"/>
        <v/>
      </c>
      <c r="C40" s="157">
        <f>IF(D11="","-",+C39+1)</f>
        <v>2036</v>
      </c>
      <c r="D40" s="163">
        <f>IF(F39+SUM(E$17:E39)=D$10,F39,D$10-SUM(E$17:E39))</f>
        <v>420540.1102564102</v>
      </c>
      <c r="E40" s="164">
        <f t="shared" si="12"/>
        <v>24656</v>
      </c>
      <c r="F40" s="163">
        <f t="shared" si="13"/>
        <v>395884.1102564102</v>
      </c>
      <c r="G40" s="165">
        <f t="shared" si="14"/>
        <v>68744.857900184797</v>
      </c>
      <c r="H40" s="147">
        <f t="shared" si="15"/>
        <v>68744.857900184797</v>
      </c>
      <c r="I40" s="160">
        <f t="shared" si="5"/>
        <v>0</v>
      </c>
      <c r="J40" s="160"/>
      <c r="K40" s="335"/>
      <c r="L40" s="162">
        <f t="shared" si="16"/>
        <v>0</v>
      </c>
      <c r="M40" s="335"/>
      <c r="N40" s="162">
        <f t="shared" si="17"/>
        <v>0</v>
      </c>
      <c r="O40" s="162">
        <f t="shared" si="18"/>
        <v>0</v>
      </c>
      <c r="P40" s="4"/>
    </row>
    <row r="41" spans="2:16">
      <c r="B41" s="9" t="str">
        <f t="shared" si="6"/>
        <v/>
      </c>
      <c r="C41" s="157">
        <f>IF(D11="","-",+C40+1)</f>
        <v>2037</v>
      </c>
      <c r="D41" s="163">
        <f>IF(F40+SUM(E$17:E40)=D$10,F40,D$10-SUM(E$17:E40))</f>
        <v>395884.1102564102</v>
      </c>
      <c r="E41" s="164">
        <f t="shared" si="12"/>
        <v>24656</v>
      </c>
      <c r="F41" s="163">
        <f t="shared" si="13"/>
        <v>371228.1102564102</v>
      </c>
      <c r="G41" s="165">
        <f t="shared" si="14"/>
        <v>66081.892120692995</v>
      </c>
      <c r="H41" s="147">
        <f t="shared" si="15"/>
        <v>66081.892120692995</v>
      </c>
      <c r="I41" s="160">
        <f t="shared" si="5"/>
        <v>0</v>
      </c>
      <c r="J41" s="160"/>
      <c r="K41" s="335"/>
      <c r="L41" s="162">
        <f t="shared" si="16"/>
        <v>0</v>
      </c>
      <c r="M41" s="335"/>
      <c r="N41" s="162">
        <f t="shared" si="17"/>
        <v>0</v>
      </c>
      <c r="O41" s="162">
        <f t="shared" si="18"/>
        <v>0</v>
      </c>
      <c r="P41" s="4"/>
    </row>
    <row r="42" spans="2:16">
      <c r="B42" s="9" t="str">
        <f t="shared" si="6"/>
        <v/>
      </c>
      <c r="C42" s="157">
        <f>IF(D11="","-",+C41+1)</f>
        <v>2038</v>
      </c>
      <c r="D42" s="163">
        <f>IF(F41+SUM(E$17:E41)=D$10,F41,D$10-SUM(E$17:E41))</f>
        <v>371228.1102564102</v>
      </c>
      <c r="E42" s="164">
        <f t="shared" si="12"/>
        <v>24656</v>
      </c>
      <c r="F42" s="163">
        <f t="shared" si="13"/>
        <v>346572.1102564102</v>
      </c>
      <c r="G42" s="165">
        <f t="shared" si="14"/>
        <v>63418.926341201186</v>
      </c>
      <c r="H42" s="147">
        <f t="shared" si="15"/>
        <v>63418.926341201186</v>
      </c>
      <c r="I42" s="160">
        <f t="shared" si="5"/>
        <v>0</v>
      </c>
      <c r="J42" s="160"/>
      <c r="K42" s="335"/>
      <c r="L42" s="162">
        <f t="shared" si="16"/>
        <v>0</v>
      </c>
      <c r="M42" s="335"/>
      <c r="N42" s="162">
        <f t="shared" si="17"/>
        <v>0</v>
      </c>
      <c r="O42" s="162">
        <f t="shared" si="18"/>
        <v>0</v>
      </c>
      <c r="P42" s="4"/>
    </row>
    <row r="43" spans="2:16">
      <c r="B43" s="9" t="str">
        <f t="shared" si="6"/>
        <v/>
      </c>
      <c r="C43" s="157">
        <f>IF(D11="","-",+C42+1)</f>
        <v>2039</v>
      </c>
      <c r="D43" s="163">
        <f>IF(F42+SUM(E$17:E42)=D$10,F42,D$10-SUM(E$17:E42))</f>
        <v>346572.1102564102</v>
      </c>
      <c r="E43" s="164">
        <f t="shared" si="12"/>
        <v>24656</v>
      </c>
      <c r="F43" s="163">
        <f t="shared" si="13"/>
        <v>321916.1102564102</v>
      </c>
      <c r="G43" s="165">
        <f t="shared" si="14"/>
        <v>60755.960561709377</v>
      </c>
      <c r="H43" s="147">
        <f t="shared" si="15"/>
        <v>60755.960561709377</v>
      </c>
      <c r="I43" s="160">
        <f t="shared" si="5"/>
        <v>0</v>
      </c>
      <c r="J43" s="160"/>
      <c r="K43" s="335"/>
      <c r="L43" s="162">
        <f t="shared" si="16"/>
        <v>0</v>
      </c>
      <c r="M43" s="335"/>
      <c r="N43" s="162">
        <f t="shared" si="17"/>
        <v>0</v>
      </c>
      <c r="O43" s="162">
        <f t="shared" si="18"/>
        <v>0</v>
      </c>
      <c r="P43" s="4"/>
    </row>
    <row r="44" spans="2:16">
      <c r="B44" s="9" t="str">
        <f t="shared" si="6"/>
        <v/>
      </c>
      <c r="C44" s="157">
        <f>IF(D11="","-",+C43+1)</f>
        <v>2040</v>
      </c>
      <c r="D44" s="163">
        <f>IF(F43+SUM(E$17:E43)=D$10,F43,D$10-SUM(E$17:E43))</f>
        <v>321916.1102564102</v>
      </c>
      <c r="E44" s="164">
        <f t="shared" si="12"/>
        <v>24656</v>
      </c>
      <c r="F44" s="163">
        <f t="shared" si="13"/>
        <v>297260.1102564102</v>
      </c>
      <c r="G44" s="165">
        <f t="shared" si="14"/>
        <v>58092.994782217575</v>
      </c>
      <c r="H44" s="147">
        <f t="shared" si="15"/>
        <v>58092.994782217575</v>
      </c>
      <c r="I44" s="160">
        <f t="shared" si="5"/>
        <v>0</v>
      </c>
      <c r="J44" s="160"/>
      <c r="K44" s="335"/>
      <c r="L44" s="162">
        <f t="shared" si="16"/>
        <v>0</v>
      </c>
      <c r="M44" s="335"/>
      <c r="N44" s="162">
        <f t="shared" si="17"/>
        <v>0</v>
      </c>
      <c r="O44" s="162">
        <f t="shared" si="18"/>
        <v>0</v>
      </c>
      <c r="P44" s="4"/>
    </row>
    <row r="45" spans="2:16">
      <c r="B45" s="9" t="str">
        <f t="shared" si="6"/>
        <v/>
      </c>
      <c r="C45" s="157">
        <f>IF(D11="","-",+C44+1)</f>
        <v>2041</v>
      </c>
      <c r="D45" s="163">
        <f>IF(F44+SUM(E$17:E44)=D$10,F44,D$10-SUM(E$17:E44))</f>
        <v>297260.1102564102</v>
      </c>
      <c r="E45" s="164">
        <f t="shared" si="12"/>
        <v>24656</v>
      </c>
      <c r="F45" s="163">
        <f t="shared" si="13"/>
        <v>272604.1102564102</v>
      </c>
      <c r="G45" s="165">
        <f t="shared" si="14"/>
        <v>55430.029002725765</v>
      </c>
      <c r="H45" s="147">
        <f t="shared" si="15"/>
        <v>55430.029002725765</v>
      </c>
      <c r="I45" s="160">
        <f t="shared" si="5"/>
        <v>0</v>
      </c>
      <c r="J45" s="160"/>
      <c r="K45" s="335"/>
      <c r="L45" s="162">
        <f t="shared" si="16"/>
        <v>0</v>
      </c>
      <c r="M45" s="335"/>
      <c r="N45" s="162">
        <f t="shared" si="17"/>
        <v>0</v>
      </c>
      <c r="O45" s="162">
        <f t="shared" si="18"/>
        <v>0</v>
      </c>
      <c r="P45" s="4"/>
    </row>
    <row r="46" spans="2:16">
      <c r="B46" s="9" t="str">
        <f t="shared" si="6"/>
        <v/>
      </c>
      <c r="C46" s="157">
        <f>IF(D11="","-",+C45+1)</f>
        <v>2042</v>
      </c>
      <c r="D46" s="163">
        <f>IF(F45+SUM(E$17:E45)=D$10,F45,D$10-SUM(E$17:E45))</f>
        <v>272604.1102564102</v>
      </c>
      <c r="E46" s="164">
        <f t="shared" si="12"/>
        <v>24656</v>
      </c>
      <c r="F46" s="163">
        <f t="shared" si="13"/>
        <v>247948.1102564102</v>
      </c>
      <c r="G46" s="165">
        <f t="shared" si="14"/>
        <v>52767.063223233956</v>
      </c>
      <c r="H46" s="147">
        <f t="shared" si="15"/>
        <v>52767.063223233956</v>
      </c>
      <c r="I46" s="160">
        <f t="shared" si="5"/>
        <v>0</v>
      </c>
      <c r="J46" s="160"/>
      <c r="K46" s="335"/>
      <c r="L46" s="162">
        <f t="shared" si="16"/>
        <v>0</v>
      </c>
      <c r="M46" s="335"/>
      <c r="N46" s="162">
        <f t="shared" si="17"/>
        <v>0</v>
      </c>
      <c r="O46" s="162">
        <f t="shared" si="18"/>
        <v>0</v>
      </c>
      <c r="P46" s="4"/>
    </row>
    <row r="47" spans="2:16">
      <c r="B47" s="9" t="str">
        <f t="shared" si="6"/>
        <v/>
      </c>
      <c r="C47" s="157">
        <f>IF(D11="","-",+C46+1)</f>
        <v>2043</v>
      </c>
      <c r="D47" s="163">
        <f>IF(F46+SUM(E$17:E46)=D$10,F46,D$10-SUM(E$17:E46))</f>
        <v>247948.1102564102</v>
      </c>
      <c r="E47" s="164">
        <f t="shared" si="12"/>
        <v>24656</v>
      </c>
      <c r="F47" s="163">
        <f t="shared" si="13"/>
        <v>223292.1102564102</v>
      </c>
      <c r="G47" s="165">
        <f t="shared" si="14"/>
        <v>50104.097443742154</v>
      </c>
      <c r="H47" s="147">
        <f t="shared" si="15"/>
        <v>50104.097443742154</v>
      </c>
      <c r="I47" s="160">
        <f t="shared" si="5"/>
        <v>0</v>
      </c>
      <c r="J47" s="160"/>
      <c r="K47" s="335"/>
      <c r="L47" s="162">
        <f t="shared" si="16"/>
        <v>0</v>
      </c>
      <c r="M47" s="335"/>
      <c r="N47" s="162">
        <f t="shared" si="17"/>
        <v>0</v>
      </c>
      <c r="O47" s="162">
        <f t="shared" si="18"/>
        <v>0</v>
      </c>
      <c r="P47" s="4"/>
    </row>
    <row r="48" spans="2:16">
      <c r="B48" s="9" t="str">
        <f t="shared" si="6"/>
        <v/>
      </c>
      <c r="C48" s="157">
        <f>IF(D11="","-",+C47+1)</f>
        <v>2044</v>
      </c>
      <c r="D48" s="163">
        <f>IF(F47+SUM(E$17:E47)=D$10,F47,D$10-SUM(E$17:E47))</f>
        <v>223292.1102564102</v>
      </c>
      <c r="E48" s="164">
        <f t="shared" si="12"/>
        <v>24656</v>
      </c>
      <c r="F48" s="163">
        <f t="shared" si="13"/>
        <v>198636.1102564102</v>
      </c>
      <c r="G48" s="165">
        <f t="shared" si="14"/>
        <v>47441.131664250352</v>
      </c>
      <c r="H48" s="147">
        <f t="shared" si="15"/>
        <v>47441.131664250352</v>
      </c>
      <c r="I48" s="160">
        <f t="shared" si="5"/>
        <v>0</v>
      </c>
      <c r="J48" s="160"/>
      <c r="K48" s="335"/>
      <c r="L48" s="162">
        <f t="shared" si="16"/>
        <v>0</v>
      </c>
      <c r="M48" s="335"/>
      <c r="N48" s="162">
        <f t="shared" si="17"/>
        <v>0</v>
      </c>
      <c r="O48" s="162">
        <f t="shared" si="18"/>
        <v>0</v>
      </c>
      <c r="P48" s="4"/>
    </row>
    <row r="49" spans="2:16">
      <c r="B49" s="9" t="str">
        <f t="shared" si="6"/>
        <v/>
      </c>
      <c r="C49" s="157">
        <f>IF(D11="","-",+C48+1)</f>
        <v>2045</v>
      </c>
      <c r="D49" s="163">
        <f>IF(F48+SUM(E$17:E48)=D$10,F48,D$10-SUM(E$17:E48))</f>
        <v>198636.1102564102</v>
      </c>
      <c r="E49" s="164">
        <f t="shared" si="12"/>
        <v>24656</v>
      </c>
      <c r="F49" s="163">
        <f t="shared" si="13"/>
        <v>173980.1102564102</v>
      </c>
      <c r="G49" s="165">
        <f t="shared" si="14"/>
        <v>44778.165884758542</v>
      </c>
      <c r="H49" s="147">
        <f t="shared" si="15"/>
        <v>44778.165884758542</v>
      </c>
      <c r="I49" s="160">
        <f t="shared" si="5"/>
        <v>0</v>
      </c>
      <c r="J49" s="160"/>
      <c r="K49" s="335"/>
      <c r="L49" s="162">
        <f t="shared" si="16"/>
        <v>0</v>
      </c>
      <c r="M49" s="335"/>
      <c r="N49" s="162">
        <f t="shared" si="17"/>
        <v>0</v>
      </c>
      <c r="O49" s="162">
        <f t="shared" si="18"/>
        <v>0</v>
      </c>
      <c r="P49" s="4"/>
    </row>
    <row r="50" spans="2:16">
      <c r="B50" s="9" t="str">
        <f t="shared" si="6"/>
        <v/>
      </c>
      <c r="C50" s="157">
        <f>IF(D11="","-",+C49+1)</f>
        <v>2046</v>
      </c>
      <c r="D50" s="163">
        <f>IF(F49+SUM(E$17:E49)=D$10,F49,D$10-SUM(E$17:E49))</f>
        <v>173980.1102564102</v>
      </c>
      <c r="E50" s="164">
        <f t="shared" si="12"/>
        <v>24656</v>
      </c>
      <c r="F50" s="163">
        <f t="shared" si="13"/>
        <v>149324.1102564102</v>
      </c>
      <c r="G50" s="165">
        <f t="shared" si="14"/>
        <v>42115.200105266733</v>
      </c>
      <c r="H50" s="147">
        <f t="shared" si="15"/>
        <v>42115.200105266733</v>
      </c>
      <c r="I50" s="160">
        <f t="shared" si="5"/>
        <v>0</v>
      </c>
      <c r="J50" s="160"/>
      <c r="K50" s="335"/>
      <c r="L50" s="162">
        <f t="shared" si="16"/>
        <v>0</v>
      </c>
      <c r="M50" s="335"/>
      <c r="N50" s="162">
        <f t="shared" si="17"/>
        <v>0</v>
      </c>
      <c r="O50" s="162">
        <f t="shared" si="18"/>
        <v>0</v>
      </c>
      <c r="P50" s="4"/>
    </row>
    <row r="51" spans="2:16">
      <c r="B51" s="9" t="str">
        <f t="shared" si="6"/>
        <v/>
      </c>
      <c r="C51" s="157">
        <f>IF(D11="","-",+C50+1)</f>
        <v>2047</v>
      </c>
      <c r="D51" s="163">
        <f>IF(F50+SUM(E$17:E50)=D$10,F50,D$10-SUM(E$17:E50))</f>
        <v>149324.1102564102</v>
      </c>
      <c r="E51" s="164">
        <f t="shared" si="12"/>
        <v>24656</v>
      </c>
      <c r="F51" s="163">
        <f t="shared" si="13"/>
        <v>124668.1102564102</v>
      </c>
      <c r="G51" s="165">
        <f t="shared" si="14"/>
        <v>39452.234325774931</v>
      </c>
      <c r="H51" s="147">
        <f t="shared" si="15"/>
        <v>39452.234325774931</v>
      </c>
      <c r="I51" s="160">
        <f t="shared" si="5"/>
        <v>0</v>
      </c>
      <c r="J51" s="160"/>
      <c r="K51" s="335"/>
      <c r="L51" s="162">
        <f t="shared" si="16"/>
        <v>0</v>
      </c>
      <c r="M51" s="335"/>
      <c r="N51" s="162">
        <f t="shared" si="17"/>
        <v>0</v>
      </c>
      <c r="O51" s="162">
        <f t="shared" si="18"/>
        <v>0</v>
      </c>
      <c r="P51" s="4"/>
    </row>
    <row r="52" spans="2:16">
      <c r="B52" s="9" t="str">
        <f t="shared" si="6"/>
        <v/>
      </c>
      <c r="C52" s="157">
        <f>IF(D11="","-",+C51+1)</f>
        <v>2048</v>
      </c>
      <c r="D52" s="163">
        <f>IF(F51+SUM(E$17:E51)=D$10,F51,D$10-SUM(E$17:E51))</f>
        <v>124668.1102564102</v>
      </c>
      <c r="E52" s="164">
        <f t="shared" si="12"/>
        <v>24656</v>
      </c>
      <c r="F52" s="163">
        <f t="shared" si="13"/>
        <v>100012.1102564102</v>
      </c>
      <c r="G52" s="165">
        <f t="shared" si="14"/>
        <v>36789.268546283129</v>
      </c>
      <c r="H52" s="147">
        <f t="shared" si="15"/>
        <v>36789.268546283129</v>
      </c>
      <c r="I52" s="160">
        <f t="shared" si="5"/>
        <v>0</v>
      </c>
      <c r="J52" s="160"/>
      <c r="K52" s="335"/>
      <c r="L52" s="162">
        <f t="shared" si="16"/>
        <v>0</v>
      </c>
      <c r="M52" s="335"/>
      <c r="N52" s="162">
        <f t="shared" si="17"/>
        <v>0</v>
      </c>
      <c r="O52" s="162">
        <f t="shared" si="18"/>
        <v>0</v>
      </c>
      <c r="P52" s="4"/>
    </row>
    <row r="53" spans="2:16">
      <c r="B53" s="9" t="str">
        <f t="shared" si="6"/>
        <v/>
      </c>
      <c r="C53" s="157">
        <f>IF(D11="","-",+C52+1)</f>
        <v>2049</v>
      </c>
      <c r="D53" s="163">
        <f>IF(F52+SUM(E$17:E52)=D$10,F52,D$10-SUM(E$17:E52))</f>
        <v>100012.1102564102</v>
      </c>
      <c r="E53" s="164">
        <f t="shared" si="12"/>
        <v>24656</v>
      </c>
      <c r="F53" s="163">
        <f t="shared" si="13"/>
        <v>75356.110256410204</v>
      </c>
      <c r="G53" s="165">
        <f t="shared" si="14"/>
        <v>34126.302766791319</v>
      </c>
      <c r="H53" s="147">
        <f t="shared" si="15"/>
        <v>34126.302766791319</v>
      </c>
      <c r="I53" s="160">
        <f t="shared" si="5"/>
        <v>0</v>
      </c>
      <c r="J53" s="160"/>
      <c r="K53" s="335"/>
      <c r="L53" s="162">
        <f t="shared" si="16"/>
        <v>0</v>
      </c>
      <c r="M53" s="335"/>
      <c r="N53" s="162">
        <f t="shared" si="17"/>
        <v>0</v>
      </c>
      <c r="O53" s="162">
        <f t="shared" si="18"/>
        <v>0</v>
      </c>
      <c r="P53" s="4"/>
    </row>
    <row r="54" spans="2:16">
      <c r="B54" s="9" t="str">
        <f t="shared" si="6"/>
        <v/>
      </c>
      <c r="C54" s="157">
        <f>IF(D11="","-",+C53+1)</f>
        <v>2050</v>
      </c>
      <c r="D54" s="163">
        <f>IF(F53+SUM(E$17:E53)=D$10,F53,D$10-SUM(E$17:E53))</f>
        <v>75356.110256410204</v>
      </c>
      <c r="E54" s="164">
        <f t="shared" si="12"/>
        <v>24656</v>
      </c>
      <c r="F54" s="163">
        <f t="shared" si="13"/>
        <v>50700.110256410204</v>
      </c>
      <c r="G54" s="165">
        <f t="shared" si="14"/>
        <v>31463.336987299517</v>
      </c>
      <c r="H54" s="147">
        <f t="shared" si="15"/>
        <v>31463.336987299517</v>
      </c>
      <c r="I54" s="160">
        <f t="shared" si="5"/>
        <v>0</v>
      </c>
      <c r="J54" s="160"/>
      <c r="K54" s="335"/>
      <c r="L54" s="162">
        <f t="shared" si="16"/>
        <v>0</v>
      </c>
      <c r="M54" s="335"/>
      <c r="N54" s="162">
        <f t="shared" si="17"/>
        <v>0</v>
      </c>
      <c r="O54" s="162">
        <f t="shared" si="18"/>
        <v>0</v>
      </c>
      <c r="P54" s="4"/>
    </row>
    <row r="55" spans="2:16">
      <c r="B55" s="9" t="str">
        <f t="shared" si="6"/>
        <v/>
      </c>
      <c r="C55" s="157">
        <f>IF(D11="","-",+C54+1)</f>
        <v>2051</v>
      </c>
      <c r="D55" s="163">
        <f>IF(F54+SUM(E$17:E54)=D$10,F54,D$10-SUM(E$17:E54))</f>
        <v>50700.110256410204</v>
      </c>
      <c r="E55" s="164">
        <f t="shared" si="12"/>
        <v>24656</v>
      </c>
      <c r="F55" s="163">
        <f t="shared" si="13"/>
        <v>26044.110256410204</v>
      </c>
      <c r="G55" s="165">
        <f t="shared" si="14"/>
        <v>28800.371207807711</v>
      </c>
      <c r="H55" s="147">
        <f t="shared" si="15"/>
        <v>28800.371207807711</v>
      </c>
      <c r="I55" s="160">
        <f t="shared" si="5"/>
        <v>0</v>
      </c>
      <c r="J55" s="160"/>
      <c r="K55" s="335"/>
      <c r="L55" s="162">
        <f t="shared" si="16"/>
        <v>0</v>
      </c>
      <c r="M55" s="335"/>
      <c r="N55" s="162">
        <f t="shared" si="17"/>
        <v>0</v>
      </c>
      <c r="O55" s="162">
        <f t="shared" si="18"/>
        <v>0</v>
      </c>
      <c r="P55" s="4"/>
    </row>
    <row r="56" spans="2:16">
      <c r="B56" s="9" t="str">
        <f t="shared" si="6"/>
        <v/>
      </c>
      <c r="C56" s="157">
        <f>IF(D11="","-",+C55+1)</f>
        <v>2052</v>
      </c>
      <c r="D56" s="163">
        <f>IF(F55+SUM(E$17:E55)=D$10,F55,D$10-SUM(E$17:E55))</f>
        <v>26044.110256410204</v>
      </c>
      <c r="E56" s="164">
        <f t="shared" si="12"/>
        <v>24656</v>
      </c>
      <c r="F56" s="163">
        <f t="shared" si="13"/>
        <v>1388.1102564102039</v>
      </c>
      <c r="G56" s="165">
        <f t="shared" si="14"/>
        <v>26137.405428315906</v>
      </c>
      <c r="H56" s="147">
        <f t="shared" si="15"/>
        <v>26137.405428315906</v>
      </c>
      <c r="I56" s="160">
        <f t="shared" si="5"/>
        <v>0</v>
      </c>
      <c r="J56" s="160"/>
      <c r="K56" s="335"/>
      <c r="L56" s="162">
        <f t="shared" si="16"/>
        <v>0</v>
      </c>
      <c r="M56" s="335"/>
      <c r="N56" s="162">
        <f t="shared" si="17"/>
        <v>0</v>
      </c>
      <c r="O56" s="162">
        <f t="shared" si="18"/>
        <v>0</v>
      </c>
      <c r="P56" s="4"/>
    </row>
    <row r="57" spans="2:16">
      <c r="B57" s="9" t="str">
        <f t="shared" si="6"/>
        <v/>
      </c>
      <c r="C57" s="157">
        <f>IF(D11="","-",+C56+1)</f>
        <v>2053</v>
      </c>
      <c r="D57" s="163">
        <f>IF(F56+SUM(E$17:E56)=D$10,F56,D$10-SUM(E$17:E56))</f>
        <v>1388.1102564102039</v>
      </c>
      <c r="E57" s="164">
        <f t="shared" si="12"/>
        <v>1388.1102564102039</v>
      </c>
      <c r="F57" s="163">
        <f t="shared" si="13"/>
        <v>0</v>
      </c>
      <c r="G57" s="165">
        <f t="shared" si="14"/>
        <v>1463.0715256952049</v>
      </c>
      <c r="H57" s="147">
        <f t="shared" si="15"/>
        <v>1463.0715256952049</v>
      </c>
      <c r="I57" s="160">
        <f t="shared" si="5"/>
        <v>0</v>
      </c>
      <c r="J57" s="160"/>
      <c r="K57" s="335"/>
      <c r="L57" s="162">
        <f t="shared" si="16"/>
        <v>0</v>
      </c>
      <c r="M57" s="335"/>
      <c r="N57" s="162">
        <f t="shared" si="17"/>
        <v>0</v>
      </c>
      <c r="O57" s="162">
        <f t="shared" si="18"/>
        <v>0</v>
      </c>
      <c r="P57" s="4"/>
    </row>
    <row r="58" spans="2:16">
      <c r="B58" s="9" t="str">
        <f t="shared" si="6"/>
        <v/>
      </c>
      <c r="C58" s="157">
        <f>IF(D11="","-",+C57+1)</f>
        <v>2054</v>
      </c>
      <c r="D58" s="163">
        <f>IF(F57+SUM(E$17:E57)=D$10,F57,D$10-SUM(E$17:E57))</f>
        <v>0</v>
      </c>
      <c r="E58" s="164">
        <f t="shared" si="12"/>
        <v>0</v>
      </c>
      <c r="F58" s="163">
        <f t="shared" si="13"/>
        <v>0</v>
      </c>
      <c r="G58" s="165">
        <f t="shared" si="14"/>
        <v>0</v>
      </c>
      <c r="H58" s="147">
        <f t="shared" si="15"/>
        <v>0</v>
      </c>
      <c r="I58" s="160">
        <f t="shared" si="5"/>
        <v>0</v>
      </c>
      <c r="J58" s="160"/>
      <c r="K58" s="335"/>
      <c r="L58" s="162">
        <f t="shared" si="16"/>
        <v>0</v>
      </c>
      <c r="M58" s="335"/>
      <c r="N58" s="162">
        <f t="shared" si="17"/>
        <v>0</v>
      </c>
      <c r="O58" s="162">
        <f t="shared" si="18"/>
        <v>0</v>
      </c>
      <c r="P58" s="4"/>
    </row>
    <row r="59" spans="2:16">
      <c r="B59" s="9" t="str">
        <f t="shared" si="6"/>
        <v/>
      </c>
      <c r="C59" s="157">
        <f>IF(D11="","-",+C58+1)</f>
        <v>2055</v>
      </c>
      <c r="D59" s="163">
        <f>IF(F58+SUM(E$17:E58)=D$10,F58,D$10-SUM(E$17:E58))</f>
        <v>0</v>
      </c>
      <c r="E59" s="164">
        <f t="shared" si="12"/>
        <v>0</v>
      </c>
      <c r="F59" s="163">
        <f t="shared" si="13"/>
        <v>0</v>
      </c>
      <c r="G59" s="165">
        <f t="shared" si="14"/>
        <v>0</v>
      </c>
      <c r="H59" s="147">
        <f t="shared" si="15"/>
        <v>0</v>
      </c>
      <c r="I59" s="160">
        <f t="shared" si="5"/>
        <v>0</v>
      </c>
      <c r="J59" s="160"/>
      <c r="K59" s="335"/>
      <c r="L59" s="162">
        <f t="shared" si="16"/>
        <v>0</v>
      </c>
      <c r="M59" s="335"/>
      <c r="N59" s="162">
        <f t="shared" si="17"/>
        <v>0</v>
      </c>
      <c r="O59" s="162">
        <f t="shared" si="18"/>
        <v>0</v>
      </c>
      <c r="P59" s="4"/>
    </row>
    <row r="60" spans="2:16">
      <c r="B60" s="9" t="str">
        <f t="shared" si="6"/>
        <v/>
      </c>
      <c r="C60" s="157">
        <f>IF(D11="","-",+C59+1)</f>
        <v>2056</v>
      </c>
      <c r="D60" s="163">
        <f>IF(F59+SUM(E$17:E59)=D$10,F59,D$10-SUM(E$17:E59))</f>
        <v>0</v>
      </c>
      <c r="E60" s="164">
        <f t="shared" si="12"/>
        <v>0</v>
      </c>
      <c r="F60" s="163">
        <f t="shared" si="13"/>
        <v>0</v>
      </c>
      <c r="G60" s="165">
        <f t="shared" si="14"/>
        <v>0</v>
      </c>
      <c r="H60" s="147">
        <f t="shared" si="15"/>
        <v>0</v>
      </c>
      <c r="I60" s="160">
        <f t="shared" si="5"/>
        <v>0</v>
      </c>
      <c r="J60" s="160"/>
      <c r="K60" s="335"/>
      <c r="L60" s="162">
        <f t="shared" si="16"/>
        <v>0</v>
      </c>
      <c r="M60" s="335"/>
      <c r="N60" s="162">
        <f t="shared" si="17"/>
        <v>0</v>
      </c>
      <c r="O60" s="162">
        <f t="shared" si="18"/>
        <v>0</v>
      </c>
      <c r="P60" s="4"/>
    </row>
    <row r="61" spans="2:16">
      <c r="B61" s="9" t="str">
        <f t="shared" si="6"/>
        <v/>
      </c>
      <c r="C61" s="157">
        <f>IF(D11="","-",+C60+1)</f>
        <v>2057</v>
      </c>
      <c r="D61" s="163">
        <f>IF(F60+SUM(E$17:E60)=D$10,F60,D$10-SUM(E$17:E60))</f>
        <v>0</v>
      </c>
      <c r="E61" s="164">
        <f t="shared" si="12"/>
        <v>0</v>
      </c>
      <c r="F61" s="163">
        <f t="shared" si="13"/>
        <v>0</v>
      </c>
      <c r="G61" s="165">
        <f t="shared" si="14"/>
        <v>0</v>
      </c>
      <c r="H61" s="147">
        <f t="shared" si="15"/>
        <v>0</v>
      </c>
      <c r="I61" s="160">
        <f t="shared" si="5"/>
        <v>0</v>
      </c>
      <c r="J61" s="160"/>
      <c r="K61" s="335"/>
      <c r="L61" s="162">
        <f t="shared" si="16"/>
        <v>0</v>
      </c>
      <c r="M61" s="335"/>
      <c r="N61" s="162">
        <f t="shared" si="17"/>
        <v>0</v>
      </c>
      <c r="O61" s="162">
        <f t="shared" si="18"/>
        <v>0</v>
      </c>
      <c r="P61" s="4"/>
    </row>
    <row r="62" spans="2:16">
      <c r="B62" s="9" t="str">
        <f t="shared" si="6"/>
        <v/>
      </c>
      <c r="C62" s="157">
        <f>IF(D11="","-",+C61+1)</f>
        <v>2058</v>
      </c>
      <c r="D62" s="163">
        <f>IF(F61+SUM(E$17:E61)=D$10,F61,D$10-SUM(E$17:E61))</f>
        <v>0</v>
      </c>
      <c r="E62" s="164">
        <f t="shared" si="12"/>
        <v>0</v>
      </c>
      <c r="F62" s="163">
        <f t="shared" si="13"/>
        <v>0</v>
      </c>
      <c r="G62" s="165">
        <f t="shared" si="14"/>
        <v>0</v>
      </c>
      <c r="H62" s="147">
        <f t="shared" si="15"/>
        <v>0</v>
      </c>
      <c r="I62" s="160">
        <f t="shared" si="5"/>
        <v>0</v>
      </c>
      <c r="J62" s="160"/>
      <c r="K62" s="335"/>
      <c r="L62" s="162">
        <f t="shared" si="16"/>
        <v>0</v>
      </c>
      <c r="M62" s="335"/>
      <c r="N62" s="162">
        <f t="shared" si="17"/>
        <v>0</v>
      </c>
      <c r="O62" s="162">
        <f t="shared" si="18"/>
        <v>0</v>
      </c>
      <c r="P62" s="4"/>
    </row>
    <row r="63" spans="2:16">
      <c r="B63" s="9" t="str">
        <f t="shared" si="6"/>
        <v/>
      </c>
      <c r="C63" s="157">
        <f>IF(D11="","-",+C62+1)</f>
        <v>2059</v>
      </c>
      <c r="D63" s="163">
        <f>IF(F62+SUM(E$17:E62)=D$10,F62,D$10-SUM(E$17:E62))</f>
        <v>0</v>
      </c>
      <c r="E63" s="164">
        <f t="shared" si="12"/>
        <v>0</v>
      </c>
      <c r="F63" s="163">
        <f t="shared" si="13"/>
        <v>0</v>
      </c>
      <c r="G63" s="165">
        <f t="shared" si="14"/>
        <v>0</v>
      </c>
      <c r="H63" s="147">
        <f t="shared" si="15"/>
        <v>0</v>
      </c>
      <c r="I63" s="160">
        <f t="shared" si="5"/>
        <v>0</v>
      </c>
      <c r="J63" s="160"/>
      <c r="K63" s="335"/>
      <c r="L63" s="162">
        <f t="shared" si="16"/>
        <v>0</v>
      </c>
      <c r="M63" s="335"/>
      <c r="N63" s="162">
        <f t="shared" si="17"/>
        <v>0</v>
      </c>
      <c r="O63" s="162">
        <f t="shared" si="18"/>
        <v>0</v>
      </c>
      <c r="P63" s="4"/>
    </row>
    <row r="64" spans="2:16">
      <c r="B64" s="9" t="str">
        <f t="shared" si="6"/>
        <v/>
      </c>
      <c r="C64" s="157">
        <f>IF(D11="","-",+C63+1)</f>
        <v>2060</v>
      </c>
      <c r="D64" s="163">
        <f>IF(F63+SUM(E$17:E63)=D$10,F63,D$10-SUM(E$17:E63))</f>
        <v>0</v>
      </c>
      <c r="E64" s="164">
        <f t="shared" si="12"/>
        <v>0</v>
      </c>
      <c r="F64" s="163">
        <f t="shared" si="13"/>
        <v>0</v>
      </c>
      <c r="G64" s="165">
        <f t="shared" si="14"/>
        <v>0</v>
      </c>
      <c r="H64" s="147">
        <f t="shared" si="15"/>
        <v>0</v>
      </c>
      <c r="I64" s="160">
        <f t="shared" si="5"/>
        <v>0</v>
      </c>
      <c r="J64" s="160"/>
      <c r="K64" s="335"/>
      <c r="L64" s="162">
        <f t="shared" si="16"/>
        <v>0</v>
      </c>
      <c r="M64" s="335"/>
      <c r="N64" s="162">
        <f t="shared" si="17"/>
        <v>0</v>
      </c>
      <c r="O64" s="162">
        <f t="shared" si="18"/>
        <v>0</v>
      </c>
      <c r="P64" s="4"/>
    </row>
    <row r="65" spans="2:16">
      <c r="B65" s="9" t="str">
        <f t="shared" si="6"/>
        <v/>
      </c>
      <c r="C65" s="157">
        <f>IF(D11="","-",+C64+1)</f>
        <v>2061</v>
      </c>
      <c r="D65" s="163">
        <f>IF(F64+SUM(E$17:E64)=D$10,F64,D$10-SUM(E$17:E64))</f>
        <v>0</v>
      </c>
      <c r="E65" s="164">
        <f t="shared" si="12"/>
        <v>0</v>
      </c>
      <c r="F65" s="163">
        <f t="shared" si="13"/>
        <v>0</v>
      </c>
      <c r="G65" s="165">
        <f t="shared" si="14"/>
        <v>0</v>
      </c>
      <c r="H65" s="147">
        <f t="shared" si="15"/>
        <v>0</v>
      </c>
      <c r="I65" s="160">
        <f t="shared" si="5"/>
        <v>0</v>
      </c>
      <c r="J65" s="160"/>
      <c r="K65" s="335"/>
      <c r="L65" s="162">
        <f t="shared" si="16"/>
        <v>0</v>
      </c>
      <c r="M65" s="335"/>
      <c r="N65" s="162">
        <f t="shared" si="17"/>
        <v>0</v>
      </c>
      <c r="O65" s="162">
        <f t="shared" si="18"/>
        <v>0</v>
      </c>
      <c r="P65" s="4"/>
    </row>
    <row r="66" spans="2:16">
      <c r="B66" s="9" t="str">
        <f t="shared" si="6"/>
        <v/>
      </c>
      <c r="C66" s="157">
        <f>IF(D11="","-",+C65+1)</f>
        <v>2062</v>
      </c>
      <c r="D66" s="163">
        <f>IF(F65+SUM(E$17:E65)=D$10,F65,D$10-SUM(E$17:E65))</f>
        <v>0</v>
      </c>
      <c r="E66" s="164">
        <f t="shared" si="12"/>
        <v>0</v>
      </c>
      <c r="F66" s="163">
        <f t="shared" si="13"/>
        <v>0</v>
      </c>
      <c r="G66" s="165">
        <f t="shared" si="14"/>
        <v>0</v>
      </c>
      <c r="H66" s="147">
        <f t="shared" si="15"/>
        <v>0</v>
      </c>
      <c r="I66" s="160">
        <f t="shared" si="5"/>
        <v>0</v>
      </c>
      <c r="J66" s="160"/>
      <c r="K66" s="335"/>
      <c r="L66" s="162">
        <f t="shared" si="16"/>
        <v>0</v>
      </c>
      <c r="M66" s="335"/>
      <c r="N66" s="162">
        <f t="shared" si="17"/>
        <v>0</v>
      </c>
      <c r="O66" s="162">
        <f t="shared" si="18"/>
        <v>0</v>
      </c>
      <c r="P66" s="4"/>
    </row>
    <row r="67" spans="2:16">
      <c r="B67" s="9" t="str">
        <f t="shared" si="6"/>
        <v/>
      </c>
      <c r="C67" s="157">
        <f>IF(D11="","-",+C66+1)</f>
        <v>2063</v>
      </c>
      <c r="D67" s="163">
        <f>IF(F66+SUM(E$17:E66)=D$10,F66,D$10-SUM(E$17:E66))</f>
        <v>0</v>
      </c>
      <c r="E67" s="164">
        <f t="shared" si="12"/>
        <v>0</v>
      </c>
      <c r="F67" s="163">
        <f t="shared" si="13"/>
        <v>0</v>
      </c>
      <c r="G67" s="165">
        <f t="shared" si="14"/>
        <v>0</v>
      </c>
      <c r="H67" s="147">
        <f t="shared" si="15"/>
        <v>0</v>
      </c>
      <c r="I67" s="160">
        <f t="shared" si="5"/>
        <v>0</v>
      </c>
      <c r="J67" s="160"/>
      <c r="K67" s="335"/>
      <c r="L67" s="162">
        <f t="shared" si="16"/>
        <v>0</v>
      </c>
      <c r="M67" s="335"/>
      <c r="N67" s="162">
        <f t="shared" si="17"/>
        <v>0</v>
      </c>
      <c r="O67" s="162">
        <f t="shared" si="18"/>
        <v>0</v>
      </c>
      <c r="P67" s="4"/>
    </row>
    <row r="68" spans="2:16">
      <c r="B68" s="9" t="str">
        <f t="shared" si="6"/>
        <v/>
      </c>
      <c r="C68" s="157">
        <f>IF(D11="","-",+C67+1)</f>
        <v>2064</v>
      </c>
      <c r="D68" s="163">
        <f>IF(F67+SUM(E$17:E67)=D$10,F67,D$10-SUM(E$17:E67))</f>
        <v>0</v>
      </c>
      <c r="E68" s="164">
        <f t="shared" si="12"/>
        <v>0</v>
      </c>
      <c r="F68" s="163">
        <f t="shared" si="13"/>
        <v>0</v>
      </c>
      <c r="G68" s="165">
        <f t="shared" si="14"/>
        <v>0</v>
      </c>
      <c r="H68" s="147">
        <f t="shared" si="15"/>
        <v>0</v>
      </c>
      <c r="I68" s="160">
        <f t="shared" si="5"/>
        <v>0</v>
      </c>
      <c r="J68" s="160"/>
      <c r="K68" s="335"/>
      <c r="L68" s="162">
        <f t="shared" si="16"/>
        <v>0</v>
      </c>
      <c r="M68" s="335"/>
      <c r="N68" s="162">
        <f t="shared" si="17"/>
        <v>0</v>
      </c>
      <c r="O68" s="162">
        <f t="shared" si="18"/>
        <v>0</v>
      </c>
      <c r="P68" s="4"/>
    </row>
    <row r="69" spans="2:16">
      <c r="B69" s="9" t="str">
        <f t="shared" si="6"/>
        <v/>
      </c>
      <c r="C69" s="157">
        <f>IF(D11="","-",+C68+1)</f>
        <v>2065</v>
      </c>
      <c r="D69" s="163">
        <f>IF(F68+SUM(E$17:E68)=D$10,F68,D$10-SUM(E$17:E68))</f>
        <v>0</v>
      </c>
      <c r="E69" s="164">
        <f t="shared" si="12"/>
        <v>0</v>
      </c>
      <c r="F69" s="163">
        <f t="shared" si="13"/>
        <v>0</v>
      </c>
      <c r="G69" s="165">
        <f t="shared" si="14"/>
        <v>0</v>
      </c>
      <c r="H69" s="147">
        <f t="shared" si="15"/>
        <v>0</v>
      </c>
      <c r="I69" s="160">
        <f t="shared" si="5"/>
        <v>0</v>
      </c>
      <c r="J69" s="160"/>
      <c r="K69" s="335"/>
      <c r="L69" s="162">
        <f t="shared" si="16"/>
        <v>0</v>
      </c>
      <c r="M69" s="335"/>
      <c r="N69" s="162">
        <f t="shared" si="17"/>
        <v>0</v>
      </c>
      <c r="O69" s="162">
        <f t="shared" si="18"/>
        <v>0</v>
      </c>
      <c r="P69" s="4"/>
    </row>
    <row r="70" spans="2:16">
      <c r="B70" s="9" t="str">
        <f t="shared" si="6"/>
        <v/>
      </c>
      <c r="C70" s="157">
        <f>IF(D11="","-",+C69+1)</f>
        <v>2066</v>
      </c>
      <c r="D70" s="163">
        <f>IF(F69+SUM(E$17:E69)=D$10,F69,D$10-SUM(E$17:E69))</f>
        <v>0</v>
      </c>
      <c r="E70" s="164">
        <f t="shared" si="12"/>
        <v>0</v>
      </c>
      <c r="F70" s="163">
        <f t="shared" si="13"/>
        <v>0</v>
      </c>
      <c r="G70" s="165">
        <f t="shared" si="14"/>
        <v>0</v>
      </c>
      <c r="H70" s="147">
        <f t="shared" si="15"/>
        <v>0</v>
      </c>
      <c r="I70" s="160">
        <f t="shared" si="5"/>
        <v>0</v>
      </c>
      <c r="J70" s="160"/>
      <c r="K70" s="335"/>
      <c r="L70" s="162">
        <f t="shared" si="16"/>
        <v>0</v>
      </c>
      <c r="M70" s="335"/>
      <c r="N70" s="162">
        <f t="shared" si="17"/>
        <v>0</v>
      </c>
      <c r="O70" s="162">
        <f t="shared" si="18"/>
        <v>0</v>
      </c>
      <c r="P70" s="4"/>
    </row>
    <row r="71" spans="2:16">
      <c r="B71" s="9" t="str">
        <f t="shared" si="6"/>
        <v/>
      </c>
      <c r="C71" s="157">
        <f>IF(D11="","-",+C70+1)</f>
        <v>2067</v>
      </c>
      <c r="D71" s="163">
        <f>IF(F70+SUM(E$17:E70)=D$10,F70,D$10-SUM(E$17:E70))</f>
        <v>0</v>
      </c>
      <c r="E71" s="164">
        <f t="shared" si="12"/>
        <v>0</v>
      </c>
      <c r="F71" s="163">
        <f t="shared" si="13"/>
        <v>0</v>
      </c>
      <c r="G71" s="165">
        <f t="shared" si="14"/>
        <v>0</v>
      </c>
      <c r="H71" s="147">
        <f t="shared" si="15"/>
        <v>0</v>
      </c>
      <c r="I71" s="160">
        <f t="shared" si="5"/>
        <v>0</v>
      </c>
      <c r="J71" s="160"/>
      <c r="K71" s="335"/>
      <c r="L71" s="162">
        <f t="shared" si="16"/>
        <v>0</v>
      </c>
      <c r="M71" s="335"/>
      <c r="N71" s="162">
        <f t="shared" si="17"/>
        <v>0</v>
      </c>
      <c r="O71" s="162">
        <f t="shared" si="18"/>
        <v>0</v>
      </c>
      <c r="P71" s="4"/>
    </row>
    <row r="72" spans="2:16" ht="13.5" thickBot="1">
      <c r="B72" s="9" t="str">
        <f t="shared" si="6"/>
        <v/>
      </c>
      <c r="C72" s="168">
        <f>IF(D11="","-",+C71+1)</f>
        <v>2068</v>
      </c>
      <c r="D72" s="169">
        <f>IF(F71+SUM(E$17:E71)=D$10,F71,D$10-SUM(E$17:E71))</f>
        <v>0</v>
      </c>
      <c r="E72" s="170">
        <f>IF(+$I$14&lt;F71,$I$14,D72)</f>
        <v>0</v>
      </c>
      <c r="F72" s="169">
        <f>+D72-E72</f>
        <v>0</v>
      </c>
      <c r="G72" s="377">
        <f>(D72+F72)/2*I$12+E72</f>
        <v>0</v>
      </c>
      <c r="H72" s="130">
        <f>+(D72+F72)/2*I$13+E72</f>
        <v>0</v>
      </c>
      <c r="I72" s="172">
        <f>H72-G72</f>
        <v>0</v>
      </c>
      <c r="J72" s="160"/>
      <c r="K72" s="336"/>
      <c r="L72" s="173">
        <f t="shared" si="16"/>
        <v>0</v>
      </c>
      <c r="M72" s="336"/>
      <c r="N72" s="173">
        <f t="shared" si="17"/>
        <v>0</v>
      </c>
      <c r="O72" s="173">
        <f t="shared" si="18"/>
        <v>0</v>
      </c>
      <c r="P72" s="4"/>
    </row>
    <row r="73" spans="2:16">
      <c r="C73" s="158" t="s">
        <v>72</v>
      </c>
      <c r="D73" s="115"/>
      <c r="E73" s="115">
        <f>SUM(E17:E72)</f>
        <v>1035552</v>
      </c>
      <c r="F73" s="115"/>
      <c r="G73" s="115">
        <f>SUM(G17:G72)</f>
        <v>5218598.4398739748</v>
      </c>
      <c r="H73" s="115">
        <f>SUM(H17:H72)</f>
        <v>5218598.4398739748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14 of 28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2018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136430.26666666666</v>
      </c>
      <c r="N87" s="202">
        <f>IF(J92&lt;D11,0,VLOOKUP(J92,C17:O72,11))</f>
        <v>136430.26666666666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118811.71632291189</v>
      </c>
      <c r="N88" s="204">
        <f>IF(J92&lt;D11,0,VLOOKUP(J92,C99:P154,7))</f>
        <v>118811.71632291189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Ashdown West - Craig Junction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-17618.550343754774</v>
      </c>
      <c r="N89" s="207">
        <f>+N88-N87</f>
        <v>-17618.550343754774</v>
      </c>
      <c r="O89" s="208">
        <f>+O88-O87</f>
        <v>0</v>
      </c>
      <c r="P89" s="1"/>
    </row>
    <row r="90" spans="1:16" ht="13.5" thickBot="1">
      <c r="C90" s="174"/>
      <c r="D90" s="177" t="str">
        <f>D8</f>
        <v/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 t="str">
        <f>+D9</f>
        <v>TP2009092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138">
        <f>+D10</f>
        <v>1035552</v>
      </c>
      <c r="E92" s="22" t="s">
        <v>89</v>
      </c>
      <c r="H92" s="139"/>
      <c r="I92" s="139"/>
      <c r="J92" s="140">
        <f>+'PSO.WS.G.BPU.ATRR.True-up'!M16</f>
        <v>2018</v>
      </c>
      <c r="K92" s="136"/>
      <c r="L92" s="115" t="s">
        <v>90</v>
      </c>
      <c r="P92" s="4"/>
    </row>
    <row r="93" spans="1:16">
      <c r="C93" s="141" t="s">
        <v>48</v>
      </c>
      <c r="D93" s="458" t="s">
        <v>262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+D12</f>
        <v>2</v>
      </c>
      <c r="E94" s="141" t="s">
        <v>51</v>
      </c>
      <c r="F94" s="139"/>
      <c r="G94" s="139"/>
      <c r="J94" s="145">
        <f>'PSO.WS.G.BPU.ATRR.True-up'!$F$81</f>
        <v>0.10273556682691798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43</v>
      </c>
      <c r="E95" s="141" t="s">
        <v>54</v>
      </c>
      <c r="F95" s="139"/>
      <c r="G95" s="139"/>
      <c r="J95" s="145">
        <f>IF(H87="",J94,'PSO.WS.G.BPU.ATRR.True-up'!$F$80)</f>
        <v>0.10273556682691798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24083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277</v>
      </c>
      <c r="I97" s="339" t="s">
        <v>278</v>
      </c>
      <c r="J97" s="214" t="s">
        <v>93</v>
      </c>
      <c r="K97" s="216"/>
      <c r="L97" s="151" t="s">
        <v>97</v>
      </c>
      <c r="M97" s="151" t="s">
        <v>94</v>
      </c>
      <c r="N97" s="151" t="s">
        <v>97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 t="str">
        <f>IF(D93= "","-",D93)</f>
        <v>2013</v>
      </c>
      <c r="D99" s="435">
        <v>0</v>
      </c>
      <c r="E99" s="436">
        <v>16595</v>
      </c>
      <c r="F99" s="437">
        <v>1018741</v>
      </c>
      <c r="G99" s="447">
        <v>509371</v>
      </c>
      <c r="H99" s="448">
        <v>89910</v>
      </c>
      <c r="I99" s="449">
        <v>89910</v>
      </c>
      <c r="J99" s="162">
        <v>0</v>
      </c>
      <c r="K99" s="162"/>
      <c r="L99" s="338">
        <f>H99</f>
        <v>89910</v>
      </c>
      <c r="M99" s="175">
        <f>IF(L99&lt;&gt;0,+H99-L99,0)</f>
        <v>0</v>
      </c>
      <c r="N99" s="338">
        <f>I99</f>
        <v>89910</v>
      </c>
      <c r="O99" s="160">
        <f>IF(N99&lt;&gt;0,+I99-N99,0)</f>
        <v>0</v>
      </c>
      <c r="P99" s="162">
        <f>+O99-M99</f>
        <v>0</v>
      </c>
    </row>
    <row r="100" spans="1:16">
      <c r="B100" s="9" t="str">
        <f>IF(D100=F99,"","IU")</f>
        <v>IU</v>
      </c>
      <c r="C100" s="157">
        <f>IF(D93="","-",+C99+1)</f>
        <v>2014</v>
      </c>
      <c r="D100" s="435">
        <v>1018957</v>
      </c>
      <c r="E100" s="436">
        <v>19914</v>
      </c>
      <c r="F100" s="437">
        <v>999043</v>
      </c>
      <c r="G100" s="437">
        <v>1009000</v>
      </c>
      <c r="H100" s="436">
        <v>161775</v>
      </c>
      <c r="I100" s="438">
        <v>161775</v>
      </c>
      <c r="J100" s="162">
        <f>+I100-H100</f>
        <v>0</v>
      </c>
      <c r="K100" s="162"/>
      <c r="L100" s="338">
        <f>H100</f>
        <v>161775</v>
      </c>
      <c r="M100" s="175">
        <f>IF(L100&lt;&gt;0,+H100-L100,0)</f>
        <v>0</v>
      </c>
      <c r="N100" s="338">
        <f>I100</f>
        <v>161775</v>
      </c>
      <c r="O100" s="160">
        <f>IF(N100&lt;&gt;0,+I100-N100,0)</f>
        <v>0</v>
      </c>
      <c r="P100" s="162">
        <f>+O100-M100</f>
        <v>0</v>
      </c>
    </row>
    <row r="101" spans="1:16">
      <c r="B101" s="9" t="str">
        <f t="shared" ref="B101:B154" si="19">IF(D101=F100,"","IU")</f>
        <v/>
      </c>
      <c r="C101" s="157">
        <f>IF(D93="","-",+C100+1)</f>
        <v>2015</v>
      </c>
      <c r="D101" s="435">
        <v>999043</v>
      </c>
      <c r="E101" s="436">
        <v>19914</v>
      </c>
      <c r="F101" s="437">
        <v>979129</v>
      </c>
      <c r="G101" s="437">
        <v>989086</v>
      </c>
      <c r="H101" s="436">
        <v>154866.83205665913</v>
      </c>
      <c r="I101" s="438">
        <v>154866.83205665913</v>
      </c>
      <c r="J101" s="162">
        <f>+I101-H101</f>
        <v>0</v>
      </c>
      <c r="K101" s="162"/>
      <c r="L101" s="338">
        <f>H101</f>
        <v>154866.83205665913</v>
      </c>
      <c r="M101" s="175">
        <f>IF(L101&lt;&gt;0,+H101-L101,0)</f>
        <v>0</v>
      </c>
      <c r="N101" s="338">
        <f>I101</f>
        <v>154866.83205665913</v>
      </c>
      <c r="O101" s="160">
        <f>IF(N101&lt;&gt;0,+I101-N101,0)</f>
        <v>0</v>
      </c>
      <c r="P101" s="162">
        <f>+O101-M101</f>
        <v>0</v>
      </c>
    </row>
    <row r="102" spans="1:16">
      <c r="B102" s="9" t="str">
        <f t="shared" si="19"/>
        <v/>
      </c>
      <c r="C102" s="157">
        <f>IF(D93="","-",+C101+1)</f>
        <v>2016</v>
      </c>
      <c r="D102" s="435">
        <v>979129</v>
      </c>
      <c r="E102" s="436">
        <v>22512</v>
      </c>
      <c r="F102" s="437">
        <v>956617</v>
      </c>
      <c r="G102" s="437">
        <v>967873</v>
      </c>
      <c r="H102" s="436">
        <v>147286.07261026395</v>
      </c>
      <c r="I102" s="438">
        <v>147286.07261026395</v>
      </c>
      <c r="J102" s="162">
        <v>0</v>
      </c>
      <c r="K102" s="162"/>
      <c r="L102" s="338">
        <f>H102</f>
        <v>147286.07261026395</v>
      </c>
      <c r="M102" s="175">
        <f>IF(L102&lt;&gt;0,+H102-L102,0)</f>
        <v>0</v>
      </c>
      <c r="N102" s="338">
        <f>I102</f>
        <v>147286.07261026395</v>
      </c>
      <c r="O102" s="160">
        <f>IF(N102&lt;&gt;0,+I102-N102,0)</f>
        <v>0</v>
      </c>
      <c r="P102" s="162">
        <f>+O102-M102</f>
        <v>0</v>
      </c>
    </row>
    <row r="103" spans="1:16">
      <c r="B103" s="9" t="str">
        <f t="shared" si="19"/>
        <v/>
      </c>
      <c r="C103" s="157">
        <f>IF(D93="","-",+C102+1)</f>
        <v>2017</v>
      </c>
      <c r="D103" s="435">
        <v>956617</v>
      </c>
      <c r="E103" s="436">
        <v>22512</v>
      </c>
      <c r="F103" s="437">
        <v>934105</v>
      </c>
      <c r="G103" s="437">
        <v>945361</v>
      </c>
      <c r="H103" s="436">
        <v>142433.42657860837</v>
      </c>
      <c r="I103" s="438">
        <v>142433.42657860837</v>
      </c>
      <c r="J103" s="162">
        <f t="shared" ref="J103:J154" si="20">+I103-H103</f>
        <v>0</v>
      </c>
      <c r="K103" s="162"/>
      <c r="L103" s="338">
        <f>H103</f>
        <v>142433.42657860837</v>
      </c>
      <c r="M103" s="175">
        <f>IF(L103&lt;&gt;0,+H103-L103,0)</f>
        <v>0</v>
      </c>
      <c r="N103" s="338">
        <f>I103</f>
        <v>142433.42657860837</v>
      </c>
      <c r="O103" s="160">
        <f>IF(N103&lt;&gt;0,+I103-N103,0)</f>
        <v>0</v>
      </c>
      <c r="P103" s="162">
        <f>+O103-M103</f>
        <v>0</v>
      </c>
    </row>
    <row r="104" spans="1:16">
      <c r="B104" s="9" t="str">
        <f t="shared" si="19"/>
        <v/>
      </c>
      <c r="C104" s="157">
        <f>IF(D93="","-",+C103+1)</f>
        <v>2018</v>
      </c>
      <c r="D104" s="158">
        <f>IF(F103+SUM(E$99:E103)=D$92,F103,D$92-SUM(E$99:E103))</f>
        <v>934105</v>
      </c>
      <c r="E104" s="164">
        <f t="shared" ref="E104:E154" si="21">IF(+J$96&lt;F103,J$96,D104)</f>
        <v>24083</v>
      </c>
      <c r="F104" s="163">
        <f t="shared" ref="F104:F154" si="22">+D104-E104</f>
        <v>910022</v>
      </c>
      <c r="G104" s="163">
        <f t="shared" ref="G104:G154" si="23">+(F104+D104)/2</f>
        <v>922063.5</v>
      </c>
      <c r="H104" s="167">
        <f t="shared" ref="H104:H154" si="24">+J$94*G104+E104</f>
        <v>118811.71632291189</v>
      </c>
      <c r="I104" s="317">
        <f t="shared" ref="I104:I154" si="25">+J$95*G104+E104</f>
        <v>118811.71632291189</v>
      </c>
      <c r="J104" s="162">
        <f t="shared" si="20"/>
        <v>0</v>
      </c>
      <c r="K104" s="162"/>
      <c r="L104" s="335"/>
      <c r="M104" s="162">
        <f t="shared" ref="M104:M130" si="26">IF(L104&lt;&gt;0,+H104-L104,0)</f>
        <v>0</v>
      </c>
      <c r="N104" s="335"/>
      <c r="O104" s="162">
        <f t="shared" ref="O104:O130" si="27">IF(N104&lt;&gt;0,+I104-N104,0)</f>
        <v>0</v>
      </c>
      <c r="P104" s="162">
        <f t="shared" ref="P104:P130" si="28">+O104-M104</f>
        <v>0</v>
      </c>
    </row>
    <row r="105" spans="1:16">
      <c r="B105" s="9" t="str">
        <f t="shared" si="19"/>
        <v/>
      </c>
      <c r="C105" s="157">
        <f>IF(D93="","-",+C104+1)</f>
        <v>2019</v>
      </c>
      <c r="D105" s="158">
        <f>IF(F104+SUM(E$99:E104)=D$92,F104,D$92-SUM(E$99:E104))</f>
        <v>910022</v>
      </c>
      <c r="E105" s="164">
        <f t="shared" si="21"/>
        <v>24083</v>
      </c>
      <c r="F105" s="163">
        <f t="shared" si="22"/>
        <v>885939</v>
      </c>
      <c r="G105" s="163">
        <f t="shared" si="23"/>
        <v>897980.5</v>
      </c>
      <c r="H105" s="167">
        <f t="shared" si="24"/>
        <v>116337.53566701923</v>
      </c>
      <c r="I105" s="317">
        <f t="shared" si="25"/>
        <v>116337.53566701923</v>
      </c>
      <c r="J105" s="162">
        <f t="shared" si="20"/>
        <v>0</v>
      </c>
      <c r="K105" s="162"/>
      <c r="L105" s="335"/>
      <c r="M105" s="162">
        <f t="shared" si="26"/>
        <v>0</v>
      </c>
      <c r="N105" s="335"/>
      <c r="O105" s="162">
        <f t="shared" si="27"/>
        <v>0</v>
      </c>
      <c r="P105" s="162">
        <f t="shared" si="28"/>
        <v>0</v>
      </c>
    </row>
    <row r="106" spans="1:16">
      <c r="B106" s="9" t="str">
        <f t="shared" si="19"/>
        <v/>
      </c>
      <c r="C106" s="157">
        <f>IF(D93="","-",+C105+1)</f>
        <v>2020</v>
      </c>
      <c r="D106" s="158">
        <f>IF(F105+SUM(E$99:E105)=D$92,F105,D$92-SUM(E$99:E105))</f>
        <v>885939</v>
      </c>
      <c r="E106" s="164">
        <f t="shared" si="21"/>
        <v>24083</v>
      </c>
      <c r="F106" s="163">
        <f t="shared" si="22"/>
        <v>861856</v>
      </c>
      <c r="G106" s="163">
        <f t="shared" si="23"/>
        <v>873897.5</v>
      </c>
      <c r="H106" s="167">
        <f t="shared" si="24"/>
        <v>113863.35501112655</v>
      </c>
      <c r="I106" s="317">
        <f t="shared" si="25"/>
        <v>113863.35501112655</v>
      </c>
      <c r="J106" s="162">
        <f t="shared" si="20"/>
        <v>0</v>
      </c>
      <c r="K106" s="162"/>
      <c r="L106" s="335"/>
      <c r="M106" s="162">
        <f t="shared" si="26"/>
        <v>0</v>
      </c>
      <c r="N106" s="335"/>
      <c r="O106" s="162">
        <f t="shared" si="27"/>
        <v>0</v>
      </c>
      <c r="P106" s="162">
        <f t="shared" si="28"/>
        <v>0</v>
      </c>
    </row>
    <row r="107" spans="1:16">
      <c r="B107" s="9" t="str">
        <f t="shared" si="19"/>
        <v/>
      </c>
      <c r="C107" s="157">
        <f>IF(D93="","-",+C106+1)</f>
        <v>2021</v>
      </c>
      <c r="D107" s="158">
        <f>IF(F106+SUM(E$99:E106)=D$92,F106,D$92-SUM(E$99:E106))</f>
        <v>861856</v>
      </c>
      <c r="E107" s="164">
        <f t="shared" si="21"/>
        <v>24083</v>
      </c>
      <c r="F107" s="163">
        <f t="shared" si="22"/>
        <v>837773</v>
      </c>
      <c r="G107" s="163">
        <f t="shared" si="23"/>
        <v>849814.5</v>
      </c>
      <c r="H107" s="167">
        <f t="shared" si="24"/>
        <v>111389.17435523389</v>
      </c>
      <c r="I107" s="317">
        <f t="shared" si="25"/>
        <v>111389.17435523389</v>
      </c>
      <c r="J107" s="162">
        <f t="shared" si="20"/>
        <v>0</v>
      </c>
      <c r="K107" s="162"/>
      <c r="L107" s="335"/>
      <c r="M107" s="162">
        <f t="shared" si="26"/>
        <v>0</v>
      </c>
      <c r="N107" s="335"/>
      <c r="O107" s="162">
        <f t="shared" si="27"/>
        <v>0</v>
      </c>
      <c r="P107" s="162">
        <f t="shared" si="28"/>
        <v>0</v>
      </c>
    </row>
    <row r="108" spans="1:16">
      <c r="B108" s="9" t="str">
        <f t="shared" si="19"/>
        <v/>
      </c>
      <c r="C108" s="157">
        <f>IF(D93="","-",+C107+1)</f>
        <v>2022</v>
      </c>
      <c r="D108" s="158">
        <f>IF(F107+SUM(E$99:E107)=D$92,F107,D$92-SUM(E$99:E107))</f>
        <v>837773</v>
      </c>
      <c r="E108" s="164">
        <f t="shared" si="21"/>
        <v>24083</v>
      </c>
      <c r="F108" s="163">
        <f t="shared" si="22"/>
        <v>813690</v>
      </c>
      <c r="G108" s="163">
        <f t="shared" si="23"/>
        <v>825731.5</v>
      </c>
      <c r="H108" s="167">
        <f t="shared" si="24"/>
        <v>108914.99369934123</v>
      </c>
      <c r="I108" s="317">
        <f t="shared" si="25"/>
        <v>108914.99369934123</v>
      </c>
      <c r="J108" s="162">
        <f t="shared" si="20"/>
        <v>0</v>
      </c>
      <c r="K108" s="162"/>
      <c r="L108" s="335"/>
      <c r="M108" s="162">
        <f t="shared" si="26"/>
        <v>0</v>
      </c>
      <c r="N108" s="335"/>
      <c r="O108" s="162">
        <f t="shared" si="27"/>
        <v>0</v>
      </c>
      <c r="P108" s="162">
        <f t="shared" si="28"/>
        <v>0</v>
      </c>
    </row>
    <row r="109" spans="1:16">
      <c r="B109" s="9" t="str">
        <f t="shared" si="19"/>
        <v/>
      </c>
      <c r="C109" s="157">
        <f>IF(D93="","-",+C108+1)</f>
        <v>2023</v>
      </c>
      <c r="D109" s="158">
        <f>IF(F108+SUM(E$99:E108)=D$92,F108,D$92-SUM(E$99:E108))</f>
        <v>813690</v>
      </c>
      <c r="E109" s="164">
        <f t="shared" si="21"/>
        <v>24083</v>
      </c>
      <c r="F109" s="163">
        <f t="shared" si="22"/>
        <v>789607</v>
      </c>
      <c r="G109" s="163">
        <f t="shared" si="23"/>
        <v>801648.5</v>
      </c>
      <c r="H109" s="167">
        <f t="shared" si="24"/>
        <v>106440.81304344855</v>
      </c>
      <c r="I109" s="317">
        <f t="shared" si="25"/>
        <v>106440.81304344855</v>
      </c>
      <c r="J109" s="162">
        <f t="shared" si="20"/>
        <v>0</v>
      </c>
      <c r="K109" s="162"/>
      <c r="L109" s="335"/>
      <c r="M109" s="162">
        <f t="shared" si="26"/>
        <v>0</v>
      </c>
      <c r="N109" s="335"/>
      <c r="O109" s="162">
        <f t="shared" si="27"/>
        <v>0</v>
      </c>
      <c r="P109" s="162">
        <f t="shared" si="28"/>
        <v>0</v>
      </c>
    </row>
    <row r="110" spans="1:16">
      <c r="B110" s="9" t="str">
        <f t="shared" si="19"/>
        <v/>
      </c>
      <c r="C110" s="157">
        <f>IF(D93="","-",+C109+1)</f>
        <v>2024</v>
      </c>
      <c r="D110" s="158">
        <f>IF(F109+SUM(E$99:E109)=D$92,F109,D$92-SUM(E$99:E109))</f>
        <v>789607</v>
      </c>
      <c r="E110" s="164">
        <f t="shared" si="21"/>
        <v>24083</v>
      </c>
      <c r="F110" s="163">
        <f t="shared" si="22"/>
        <v>765524</v>
      </c>
      <c r="G110" s="163">
        <f t="shared" si="23"/>
        <v>777565.5</v>
      </c>
      <c r="H110" s="167">
        <f t="shared" si="24"/>
        <v>103966.63238755589</v>
      </c>
      <c r="I110" s="317">
        <f t="shared" si="25"/>
        <v>103966.63238755589</v>
      </c>
      <c r="J110" s="162">
        <f t="shared" si="20"/>
        <v>0</v>
      </c>
      <c r="K110" s="162"/>
      <c r="L110" s="335"/>
      <c r="M110" s="162">
        <f t="shared" si="26"/>
        <v>0</v>
      </c>
      <c r="N110" s="335"/>
      <c r="O110" s="162">
        <f t="shared" si="27"/>
        <v>0</v>
      </c>
      <c r="P110" s="162">
        <f t="shared" si="28"/>
        <v>0</v>
      </c>
    </row>
    <row r="111" spans="1:16">
      <c r="B111" s="9" t="str">
        <f t="shared" si="19"/>
        <v/>
      </c>
      <c r="C111" s="157">
        <f>IF(D93="","-",+C110+1)</f>
        <v>2025</v>
      </c>
      <c r="D111" s="158">
        <f>IF(F110+SUM(E$99:E110)=D$92,F110,D$92-SUM(E$99:E110))</f>
        <v>765524</v>
      </c>
      <c r="E111" s="164">
        <f t="shared" si="21"/>
        <v>24083</v>
      </c>
      <c r="F111" s="163">
        <f t="shared" si="22"/>
        <v>741441</v>
      </c>
      <c r="G111" s="163">
        <f t="shared" si="23"/>
        <v>753482.5</v>
      </c>
      <c r="H111" s="167">
        <f t="shared" si="24"/>
        <v>101492.45173166323</v>
      </c>
      <c r="I111" s="317">
        <f t="shared" si="25"/>
        <v>101492.45173166323</v>
      </c>
      <c r="J111" s="162">
        <f t="shared" si="20"/>
        <v>0</v>
      </c>
      <c r="K111" s="162"/>
      <c r="L111" s="335"/>
      <c r="M111" s="162">
        <f t="shared" si="26"/>
        <v>0</v>
      </c>
      <c r="N111" s="335"/>
      <c r="O111" s="162">
        <f t="shared" si="27"/>
        <v>0</v>
      </c>
      <c r="P111" s="162">
        <f t="shared" si="28"/>
        <v>0</v>
      </c>
    </row>
    <row r="112" spans="1:16">
      <c r="B112" s="9" t="str">
        <f t="shared" si="19"/>
        <v/>
      </c>
      <c r="C112" s="157">
        <f>IF(D93="","-",+C111+1)</f>
        <v>2026</v>
      </c>
      <c r="D112" s="158">
        <f>IF(F111+SUM(E$99:E111)=D$92,F111,D$92-SUM(E$99:E111))</f>
        <v>741441</v>
      </c>
      <c r="E112" s="164">
        <f t="shared" si="21"/>
        <v>24083</v>
      </c>
      <c r="F112" s="163">
        <f t="shared" si="22"/>
        <v>717358</v>
      </c>
      <c r="G112" s="163">
        <f t="shared" si="23"/>
        <v>729399.5</v>
      </c>
      <c r="H112" s="167">
        <f t="shared" si="24"/>
        <v>99018.271075770564</v>
      </c>
      <c r="I112" s="317">
        <f t="shared" si="25"/>
        <v>99018.271075770564</v>
      </c>
      <c r="J112" s="162">
        <f t="shared" si="20"/>
        <v>0</v>
      </c>
      <c r="K112" s="162"/>
      <c r="L112" s="335"/>
      <c r="M112" s="162">
        <f t="shared" si="26"/>
        <v>0</v>
      </c>
      <c r="N112" s="335"/>
      <c r="O112" s="162">
        <f t="shared" si="27"/>
        <v>0</v>
      </c>
      <c r="P112" s="162">
        <f t="shared" si="28"/>
        <v>0</v>
      </c>
    </row>
    <row r="113" spans="2:16">
      <c r="B113" s="9" t="str">
        <f t="shared" si="19"/>
        <v/>
      </c>
      <c r="C113" s="157">
        <f>IF(D93="","-",+C112+1)</f>
        <v>2027</v>
      </c>
      <c r="D113" s="158">
        <f>IF(F112+SUM(E$99:E112)=D$92,F112,D$92-SUM(E$99:E112))</f>
        <v>717358</v>
      </c>
      <c r="E113" s="164">
        <f t="shared" si="21"/>
        <v>24083</v>
      </c>
      <c r="F113" s="163">
        <f t="shared" si="22"/>
        <v>693275</v>
      </c>
      <c r="G113" s="163">
        <f t="shared" si="23"/>
        <v>705316.5</v>
      </c>
      <c r="H113" s="167">
        <f t="shared" si="24"/>
        <v>96544.090419877888</v>
      </c>
      <c r="I113" s="317">
        <f t="shared" si="25"/>
        <v>96544.090419877888</v>
      </c>
      <c r="J113" s="162">
        <f t="shared" si="20"/>
        <v>0</v>
      </c>
      <c r="K113" s="162"/>
      <c r="L113" s="335"/>
      <c r="M113" s="162">
        <f t="shared" si="26"/>
        <v>0</v>
      </c>
      <c r="N113" s="335"/>
      <c r="O113" s="162">
        <f t="shared" si="27"/>
        <v>0</v>
      </c>
      <c r="P113" s="162">
        <f t="shared" si="28"/>
        <v>0</v>
      </c>
    </row>
    <row r="114" spans="2:16">
      <c r="B114" s="9" t="str">
        <f t="shared" si="19"/>
        <v/>
      </c>
      <c r="C114" s="157">
        <f>IF(D93="","-",+C113+1)</f>
        <v>2028</v>
      </c>
      <c r="D114" s="158">
        <f>IF(F113+SUM(E$99:E113)=D$92,F113,D$92-SUM(E$99:E113))</f>
        <v>693275</v>
      </c>
      <c r="E114" s="164">
        <f t="shared" si="21"/>
        <v>24083</v>
      </c>
      <c r="F114" s="163">
        <f t="shared" si="22"/>
        <v>669192</v>
      </c>
      <c r="G114" s="163">
        <f t="shared" si="23"/>
        <v>681233.5</v>
      </c>
      <c r="H114" s="167">
        <f t="shared" si="24"/>
        <v>94069.909763985226</v>
      </c>
      <c r="I114" s="317">
        <f t="shared" si="25"/>
        <v>94069.909763985226</v>
      </c>
      <c r="J114" s="162">
        <f t="shared" si="20"/>
        <v>0</v>
      </c>
      <c r="K114" s="162"/>
      <c r="L114" s="335"/>
      <c r="M114" s="162">
        <f t="shared" si="26"/>
        <v>0</v>
      </c>
      <c r="N114" s="335"/>
      <c r="O114" s="162">
        <f t="shared" si="27"/>
        <v>0</v>
      </c>
      <c r="P114" s="162">
        <f t="shared" si="28"/>
        <v>0</v>
      </c>
    </row>
    <row r="115" spans="2:16">
      <c r="B115" s="9" t="str">
        <f t="shared" si="19"/>
        <v/>
      </c>
      <c r="C115" s="157">
        <f>IF(D93="","-",+C114+1)</f>
        <v>2029</v>
      </c>
      <c r="D115" s="158">
        <f>IF(F114+SUM(E$99:E114)=D$92,F114,D$92-SUM(E$99:E114))</f>
        <v>669192</v>
      </c>
      <c r="E115" s="164">
        <f t="shared" si="21"/>
        <v>24083</v>
      </c>
      <c r="F115" s="163">
        <f t="shared" si="22"/>
        <v>645109</v>
      </c>
      <c r="G115" s="163">
        <f t="shared" si="23"/>
        <v>657150.5</v>
      </c>
      <c r="H115" s="167">
        <f t="shared" si="24"/>
        <v>91595.729108092564</v>
      </c>
      <c r="I115" s="317">
        <f t="shared" si="25"/>
        <v>91595.729108092564</v>
      </c>
      <c r="J115" s="162">
        <f t="shared" si="20"/>
        <v>0</v>
      </c>
      <c r="K115" s="162"/>
      <c r="L115" s="335"/>
      <c r="M115" s="162">
        <f t="shared" si="26"/>
        <v>0</v>
      </c>
      <c r="N115" s="335"/>
      <c r="O115" s="162">
        <f t="shared" si="27"/>
        <v>0</v>
      </c>
      <c r="P115" s="162">
        <f t="shared" si="28"/>
        <v>0</v>
      </c>
    </row>
    <row r="116" spans="2:16">
      <c r="B116" s="9" t="str">
        <f t="shared" si="19"/>
        <v/>
      </c>
      <c r="C116" s="157">
        <f>IF(D93="","-",+C115+1)</f>
        <v>2030</v>
      </c>
      <c r="D116" s="158">
        <f>IF(F115+SUM(E$99:E115)=D$92,F115,D$92-SUM(E$99:E115))</f>
        <v>645109</v>
      </c>
      <c r="E116" s="164">
        <f t="shared" si="21"/>
        <v>24083</v>
      </c>
      <c r="F116" s="163">
        <f t="shared" si="22"/>
        <v>621026</v>
      </c>
      <c r="G116" s="163">
        <f t="shared" si="23"/>
        <v>633067.5</v>
      </c>
      <c r="H116" s="167">
        <f t="shared" si="24"/>
        <v>89121.548452199902</v>
      </c>
      <c r="I116" s="317">
        <f t="shared" si="25"/>
        <v>89121.548452199902</v>
      </c>
      <c r="J116" s="162">
        <f t="shared" si="20"/>
        <v>0</v>
      </c>
      <c r="K116" s="162"/>
      <c r="L116" s="335"/>
      <c r="M116" s="162">
        <f t="shared" si="26"/>
        <v>0</v>
      </c>
      <c r="N116" s="335"/>
      <c r="O116" s="162">
        <f t="shared" si="27"/>
        <v>0</v>
      </c>
      <c r="P116" s="162">
        <f t="shared" si="28"/>
        <v>0</v>
      </c>
    </row>
    <row r="117" spans="2:16">
      <c r="B117" s="9" t="str">
        <f t="shared" si="19"/>
        <v/>
      </c>
      <c r="C117" s="157">
        <f>IF(D93="","-",+C116+1)</f>
        <v>2031</v>
      </c>
      <c r="D117" s="158">
        <f>IF(F116+SUM(E$99:E116)=D$92,F116,D$92-SUM(E$99:E116))</f>
        <v>621026</v>
      </c>
      <c r="E117" s="164">
        <f t="shared" si="21"/>
        <v>24083</v>
      </c>
      <c r="F117" s="163">
        <f t="shared" si="22"/>
        <v>596943</v>
      </c>
      <c r="G117" s="163">
        <f t="shared" si="23"/>
        <v>608984.5</v>
      </c>
      <c r="H117" s="167">
        <f t="shared" si="24"/>
        <v>86647.367796307226</v>
      </c>
      <c r="I117" s="317">
        <f t="shared" si="25"/>
        <v>86647.367796307226</v>
      </c>
      <c r="J117" s="162">
        <f t="shared" si="20"/>
        <v>0</v>
      </c>
      <c r="K117" s="162"/>
      <c r="L117" s="335"/>
      <c r="M117" s="162">
        <f t="shared" si="26"/>
        <v>0</v>
      </c>
      <c r="N117" s="335"/>
      <c r="O117" s="162">
        <f t="shared" si="27"/>
        <v>0</v>
      </c>
      <c r="P117" s="162">
        <f t="shared" si="28"/>
        <v>0</v>
      </c>
    </row>
    <row r="118" spans="2:16">
      <c r="B118" s="9" t="str">
        <f t="shared" si="19"/>
        <v/>
      </c>
      <c r="C118" s="157">
        <f>IF(D93="","-",+C117+1)</f>
        <v>2032</v>
      </c>
      <c r="D118" s="158">
        <f>IF(F117+SUM(E$99:E117)=D$92,F117,D$92-SUM(E$99:E117))</f>
        <v>596943</v>
      </c>
      <c r="E118" s="164">
        <f t="shared" si="21"/>
        <v>24083</v>
      </c>
      <c r="F118" s="163">
        <f t="shared" si="22"/>
        <v>572860</v>
      </c>
      <c r="G118" s="163">
        <f t="shared" si="23"/>
        <v>584901.5</v>
      </c>
      <c r="H118" s="167">
        <f t="shared" si="24"/>
        <v>84173.187140414564</v>
      </c>
      <c r="I118" s="317">
        <f t="shared" si="25"/>
        <v>84173.187140414564</v>
      </c>
      <c r="J118" s="162">
        <f t="shared" si="20"/>
        <v>0</v>
      </c>
      <c r="K118" s="162"/>
      <c r="L118" s="335"/>
      <c r="M118" s="162">
        <f t="shared" si="26"/>
        <v>0</v>
      </c>
      <c r="N118" s="335"/>
      <c r="O118" s="162">
        <f t="shared" si="27"/>
        <v>0</v>
      </c>
      <c r="P118" s="162">
        <f t="shared" si="28"/>
        <v>0</v>
      </c>
    </row>
    <row r="119" spans="2:16">
      <c r="B119" s="9" t="str">
        <f t="shared" si="19"/>
        <v/>
      </c>
      <c r="C119" s="157">
        <f>IF(D93="","-",+C118+1)</f>
        <v>2033</v>
      </c>
      <c r="D119" s="158">
        <f>IF(F118+SUM(E$99:E118)=D$92,F118,D$92-SUM(E$99:E118))</f>
        <v>572860</v>
      </c>
      <c r="E119" s="164">
        <f t="shared" si="21"/>
        <v>24083</v>
      </c>
      <c r="F119" s="163">
        <f t="shared" si="22"/>
        <v>548777</v>
      </c>
      <c r="G119" s="163">
        <f t="shared" si="23"/>
        <v>560818.5</v>
      </c>
      <c r="H119" s="167">
        <f t="shared" si="24"/>
        <v>81699.006484521902</v>
      </c>
      <c r="I119" s="317">
        <f t="shared" si="25"/>
        <v>81699.006484521902</v>
      </c>
      <c r="J119" s="162">
        <f t="shared" si="20"/>
        <v>0</v>
      </c>
      <c r="K119" s="162"/>
      <c r="L119" s="335"/>
      <c r="M119" s="162">
        <f t="shared" si="26"/>
        <v>0</v>
      </c>
      <c r="N119" s="335"/>
      <c r="O119" s="162">
        <f t="shared" si="27"/>
        <v>0</v>
      </c>
      <c r="P119" s="162">
        <f t="shared" si="28"/>
        <v>0</v>
      </c>
    </row>
    <row r="120" spans="2:16">
      <c r="B120" s="9" t="str">
        <f t="shared" si="19"/>
        <v/>
      </c>
      <c r="C120" s="157">
        <f>IF(D93="","-",+C119+1)</f>
        <v>2034</v>
      </c>
      <c r="D120" s="158">
        <f>IF(F119+SUM(E$99:E119)=D$92,F119,D$92-SUM(E$99:E119))</f>
        <v>548777</v>
      </c>
      <c r="E120" s="164">
        <f t="shared" si="21"/>
        <v>24083</v>
      </c>
      <c r="F120" s="163">
        <f t="shared" si="22"/>
        <v>524694</v>
      </c>
      <c r="G120" s="163">
        <f t="shared" si="23"/>
        <v>536735.5</v>
      </c>
      <c r="H120" s="167">
        <f t="shared" si="24"/>
        <v>79224.825828629226</v>
      </c>
      <c r="I120" s="317">
        <f t="shared" si="25"/>
        <v>79224.825828629226</v>
      </c>
      <c r="J120" s="162">
        <f t="shared" si="20"/>
        <v>0</v>
      </c>
      <c r="K120" s="162"/>
      <c r="L120" s="335"/>
      <c r="M120" s="162">
        <f t="shared" si="26"/>
        <v>0</v>
      </c>
      <c r="N120" s="335"/>
      <c r="O120" s="162">
        <f t="shared" si="27"/>
        <v>0</v>
      </c>
      <c r="P120" s="162">
        <f t="shared" si="28"/>
        <v>0</v>
      </c>
    </row>
    <row r="121" spans="2:16">
      <c r="B121" s="9" t="str">
        <f t="shared" si="19"/>
        <v/>
      </c>
      <c r="C121" s="157">
        <f>IF(D93="","-",+C120+1)</f>
        <v>2035</v>
      </c>
      <c r="D121" s="158">
        <f>IF(F120+SUM(E$99:E120)=D$92,F120,D$92-SUM(E$99:E120))</f>
        <v>524694</v>
      </c>
      <c r="E121" s="164">
        <f t="shared" si="21"/>
        <v>24083</v>
      </c>
      <c r="F121" s="163">
        <f t="shared" si="22"/>
        <v>500611</v>
      </c>
      <c r="G121" s="163">
        <f t="shared" si="23"/>
        <v>512652.5</v>
      </c>
      <c r="H121" s="167">
        <f t="shared" si="24"/>
        <v>76750.645172736578</v>
      </c>
      <c r="I121" s="317">
        <f t="shared" si="25"/>
        <v>76750.645172736578</v>
      </c>
      <c r="J121" s="162">
        <f t="shared" si="20"/>
        <v>0</v>
      </c>
      <c r="K121" s="162"/>
      <c r="L121" s="335"/>
      <c r="M121" s="162">
        <f t="shared" si="26"/>
        <v>0</v>
      </c>
      <c r="N121" s="335"/>
      <c r="O121" s="162">
        <f t="shared" si="27"/>
        <v>0</v>
      </c>
      <c r="P121" s="162">
        <f t="shared" si="28"/>
        <v>0</v>
      </c>
    </row>
    <row r="122" spans="2:16">
      <c r="B122" s="9" t="str">
        <f t="shared" si="19"/>
        <v/>
      </c>
      <c r="C122" s="157">
        <f>IF(D93="","-",+C121+1)</f>
        <v>2036</v>
      </c>
      <c r="D122" s="158">
        <f>IF(F121+SUM(E$99:E121)=D$92,F121,D$92-SUM(E$99:E121))</f>
        <v>500611</v>
      </c>
      <c r="E122" s="164">
        <f t="shared" si="21"/>
        <v>24083</v>
      </c>
      <c r="F122" s="163">
        <f t="shared" si="22"/>
        <v>476528</v>
      </c>
      <c r="G122" s="163">
        <f t="shared" si="23"/>
        <v>488569.5</v>
      </c>
      <c r="H122" s="167">
        <f t="shared" si="24"/>
        <v>74276.464516843902</v>
      </c>
      <c r="I122" s="317">
        <f t="shared" si="25"/>
        <v>74276.464516843902</v>
      </c>
      <c r="J122" s="162">
        <f t="shared" si="20"/>
        <v>0</v>
      </c>
      <c r="K122" s="162"/>
      <c r="L122" s="335"/>
      <c r="M122" s="162">
        <f t="shared" si="26"/>
        <v>0</v>
      </c>
      <c r="N122" s="335"/>
      <c r="O122" s="162">
        <f t="shared" si="27"/>
        <v>0</v>
      </c>
      <c r="P122" s="162">
        <f t="shared" si="28"/>
        <v>0</v>
      </c>
    </row>
    <row r="123" spans="2:16">
      <c r="B123" s="9" t="str">
        <f t="shared" si="19"/>
        <v/>
      </c>
      <c r="C123" s="157">
        <f>IF(D93="","-",+C122+1)</f>
        <v>2037</v>
      </c>
      <c r="D123" s="158">
        <f>IF(F122+SUM(E$99:E122)=D$92,F122,D$92-SUM(E$99:E122))</f>
        <v>476528</v>
      </c>
      <c r="E123" s="164">
        <f t="shared" si="21"/>
        <v>24083</v>
      </c>
      <c r="F123" s="163">
        <f t="shared" si="22"/>
        <v>452445</v>
      </c>
      <c r="G123" s="163">
        <f t="shared" si="23"/>
        <v>464486.5</v>
      </c>
      <c r="H123" s="167">
        <f t="shared" si="24"/>
        <v>71802.28386095124</v>
      </c>
      <c r="I123" s="317">
        <f t="shared" si="25"/>
        <v>71802.28386095124</v>
      </c>
      <c r="J123" s="162">
        <f t="shared" si="20"/>
        <v>0</v>
      </c>
      <c r="K123" s="162"/>
      <c r="L123" s="335"/>
      <c r="M123" s="162">
        <f t="shared" si="26"/>
        <v>0</v>
      </c>
      <c r="N123" s="335"/>
      <c r="O123" s="162">
        <f t="shared" si="27"/>
        <v>0</v>
      </c>
      <c r="P123" s="162">
        <f t="shared" si="28"/>
        <v>0</v>
      </c>
    </row>
    <row r="124" spans="2:16">
      <c r="B124" s="9" t="str">
        <f t="shared" si="19"/>
        <v/>
      </c>
      <c r="C124" s="157">
        <f>IF(D93="","-",+C123+1)</f>
        <v>2038</v>
      </c>
      <c r="D124" s="158">
        <f>IF(F123+SUM(E$99:E123)=D$92,F123,D$92-SUM(E$99:E123))</f>
        <v>452445</v>
      </c>
      <c r="E124" s="164">
        <f t="shared" si="21"/>
        <v>24083</v>
      </c>
      <c r="F124" s="163">
        <f t="shared" si="22"/>
        <v>428362</v>
      </c>
      <c r="G124" s="163">
        <f t="shared" si="23"/>
        <v>440403.5</v>
      </c>
      <c r="H124" s="167">
        <f t="shared" si="24"/>
        <v>69328.103205058578</v>
      </c>
      <c r="I124" s="317">
        <f t="shared" si="25"/>
        <v>69328.103205058578</v>
      </c>
      <c r="J124" s="162">
        <f t="shared" si="20"/>
        <v>0</v>
      </c>
      <c r="K124" s="162"/>
      <c r="L124" s="335"/>
      <c r="M124" s="162">
        <f t="shared" si="26"/>
        <v>0</v>
      </c>
      <c r="N124" s="335"/>
      <c r="O124" s="162">
        <f t="shared" si="27"/>
        <v>0</v>
      </c>
      <c r="P124" s="162">
        <f t="shared" si="28"/>
        <v>0</v>
      </c>
    </row>
    <row r="125" spans="2:16">
      <c r="B125" s="9" t="str">
        <f t="shared" si="19"/>
        <v/>
      </c>
      <c r="C125" s="157">
        <f>IF(D93="","-",+C124+1)</f>
        <v>2039</v>
      </c>
      <c r="D125" s="158">
        <f>IF(F124+SUM(E$99:E124)=D$92,F124,D$92-SUM(E$99:E124))</f>
        <v>428362</v>
      </c>
      <c r="E125" s="164">
        <f t="shared" si="21"/>
        <v>24083</v>
      </c>
      <c r="F125" s="163">
        <f t="shared" si="22"/>
        <v>404279</v>
      </c>
      <c r="G125" s="163">
        <f t="shared" si="23"/>
        <v>416320.5</v>
      </c>
      <c r="H125" s="167">
        <f t="shared" si="24"/>
        <v>66853.922549165902</v>
      </c>
      <c r="I125" s="317">
        <f t="shared" si="25"/>
        <v>66853.922549165902</v>
      </c>
      <c r="J125" s="162">
        <f t="shared" si="20"/>
        <v>0</v>
      </c>
      <c r="K125" s="162"/>
      <c r="L125" s="335"/>
      <c r="M125" s="162">
        <f t="shared" si="26"/>
        <v>0</v>
      </c>
      <c r="N125" s="335"/>
      <c r="O125" s="162">
        <f t="shared" si="27"/>
        <v>0</v>
      </c>
      <c r="P125" s="162">
        <f t="shared" si="28"/>
        <v>0</v>
      </c>
    </row>
    <row r="126" spans="2:16">
      <c r="B126" s="9" t="str">
        <f t="shared" si="19"/>
        <v/>
      </c>
      <c r="C126" s="157">
        <f>IF(D93="","-",+C125+1)</f>
        <v>2040</v>
      </c>
      <c r="D126" s="158">
        <f>IF(F125+SUM(E$99:E125)=D$92,F125,D$92-SUM(E$99:E125))</f>
        <v>404279</v>
      </c>
      <c r="E126" s="164">
        <f t="shared" si="21"/>
        <v>24083</v>
      </c>
      <c r="F126" s="163">
        <f t="shared" si="22"/>
        <v>380196</v>
      </c>
      <c r="G126" s="163">
        <f t="shared" si="23"/>
        <v>392237.5</v>
      </c>
      <c r="H126" s="167">
        <f t="shared" si="24"/>
        <v>64379.74189327324</v>
      </c>
      <c r="I126" s="317">
        <f t="shared" si="25"/>
        <v>64379.74189327324</v>
      </c>
      <c r="J126" s="162">
        <f t="shared" si="20"/>
        <v>0</v>
      </c>
      <c r="K126" s="162"/>
      <c r="L126" s="335"/>
      <c r="M126" s="162">
        <f t="shared" si="26"/>
        <v>0</v>
      </c>
      <c r="N126" s="335"/>
      <c r="O126" s="162">
        <f t="shared" si="27"/>
        <v>0</v>
      </c>
      <c r="P126" s="162">
        <f t="shared" si="28"/>
        <v>0</v>
      </c>
    </row>
    <row r="127" spans="2:16">
      <c r="B127" s="9" t="str">
        <f t="shared" si="19"/>
        <v/>
      </c>
      <c r="C127" s="157">
        <f>IF(D93="","-",+C126+1)</f>
        <v>2041</v>
      </c>
      <c r="D127" s="158">
        <f>IF(F126+SUM(E$99:E126)=D$92,F126,D$92-SUM(E$99:E126))</f>
        <v>380196</v>
      </c>
      <c r="E127" s="164">
        <f t="shared" si="21"/>
        <v>24083</v>
      </c>
      <c r="F127" s="163">
        <f t="shared" si="22"/>
        <v>356113</v>
      </c>
      <c r="G127" s="163">
        <f t="shared" si="23"/>
        <v>368154.5</v>
      </c>
      <c r="H127" s="167">
        <f t="shared" si="24"/>
        <v>61905.561237380578</v>
      </c>
      <c r="I127" s="317">
        <f t="shared" si="25"/>
        <v>61905.561237380578</v>
      </c>
      <c r="J127" s="162">
        <f t="shared" si="20"/>
        <v>0</v>
      </c>
      <c r="K127" s="162"/>
      <c r="L127" s="335"/>
      <c r="M127" s="162">
        <f t="shared" si="26"/>
        <v>0</v>
      </c>
      <c r="N127" s="335"/>
      <c r="O127" s="162">
        <f t="shared" si="27"/>
        <v>0</v>
      </c>
      <c r="P127" s="162">
        <f t="shared" si="28"/>
        <v>0</v>
      </c>
    </row>
    <row r="128" spans="2:16">
      <c r="B128" s="9" t="str">
        <f t="shared" si="19"/>
        <v/>
      </c>
      <c r="C128" s="157">
        <f>IF(D93="","-",+C127+1)</f>
        <v>2042</v>
      </c>
      <c r="D128" s="158">
        <f>IF(F127+SUM(E$99:E127)=D$92,F127,D$92-SUM(E$99:E127))</f>
        <v>356113</v>
      </c>
      <c r="E128" s="164">
        <f t="shared" si="21"/>
        <v>24083</v>
      </c>
      <c r="F128" s="163">
        <f t="shared" si="22"/>
        <v>332030</v>
      </c>
      <c r="G128" s="163">
        <f t="shared" si="23"/>
        <v>344071.5</v>
      </c>
      <c r="H128" s="167">
        <f t="shared" si="24"/>
        <v>59431.380581487909</v>
      </c>
      <c r="I128" s="317">
        <f t="shared" si="25"/>
        <v>59431.380581487909</v>
      </c>
      <c r="J128" s="162">
        <f t="shared" si="20"/>
        <v>0</v>
      </c>
      <c r="K128" s="162"/>
      <c r="L128" s="335"/>
      <c r="M128" s="162">
        <f t="shared" si="26"/>
        <v>0</v>
      </c>
      <c r="N128" s="335"/>
      <c r="O128" s="162">
        <f t="shared" si="27"/>
        <v>0</v>
      </c>
      <c r="P128" s="162">
        <f t="shared" si="28"/>
        <v>0</v>
      </c>
    </row>
    <row r="129" spans="2:16">
      <c r="B129" s="9" t="str">
        <f t="shared" si="19"/>
        <v/>
      </c>
      <c r="C129" s="157">
        <f>IF(D93="","-",+C128+1)</f>
        <v>2043</v>
      </c>
      <c r="D129" s="158">
        <f>IF(F128+SUM(E$99:E128)=D$92,F128,D$92-SUM(E$99:E128))</f>
        <v>332030</v>
      </c>
      <c r="E129" s="164">
        <f t="shared" si="21"/>
        <v>24083</v>
      </c>
      <c r="F129" s="163">
        <f t="shared" si="22"/>
        <v>307947</v>
      </c>
      <c r="G129" s="163">
        <f t="shared" si="23"/>
        <v>319988.5</v>
      </c>
      <c r="H129" s="167">
        <f t="shared" si="24"/>
        <v>56957.199925595247</v>
      </c>
      <c r="I129" s="317">
        <f t="shared" si="25"/>
        <v>56957.199925595247</v>
      </c>
      <c r="J129" s="162">
        <f t="shared" si="20"/>
        <v>0</v>
      </c>
      <c r="K129" s="162"/>
      <c r="L129" s="335"/>
      <c r="M129" s="162">
        <f t="shared" si="26"/>
        <v>0</v>
      </c>
      <c r="N129" s="335"/>
      <c r="O129" s="162">
        <f t="shared" si="27"/>
        <v>0</v>
      </c>
      <c r="P129" s="162">
        <f t="shared" si="28"/>
        <v>0</v>
      </c>
    </row>
    <row r="130" spans="2:16">
      <c r="B130" s="9" t="str">
        <f t="shared" si="19"/>
        <v/>
      </c>
      <c r="C130" s="157">
        <f>IF(D93="","-",+C129+1)</f>
        <v>2044</v>
      </c>
      <c r="D130" s="158">
        <f>IF(F129+SUM(E$99:E129)=D$92,F129,D$92-SUM(E$99:E129))</f>
        <v>307947</v>
      </c>
      <c r="E130" s="164">
        <f t="shared" si="21"/>
        <v>24083</v>
      </c>
      <c r="F130" s="163">
        <f t="shared" si="22"/>
        <v>283864</v>
      </c>
      <c r="G130" s="163">
        <f t="shared" si="23"/>
        <v>295905.5</v>
      </c>
      <c r="H130" s="167">
        <f t="shared" si="24"/>
        <v>54483.019269702578</v>
      </c>
      <c r="I130" s="317">
        <f t="shared" si="25"/>
        <v>54483.019269702578</v>
      </c>
      <c r="J130" s="162">
        <f t="shared" si="20"/>
        <v>0</v>
      </c>
      <c r="K130" s="162"/>
      <c r="L130" s="335"/>
      <c r="M130" s="162">
        <f t="shared" si="26"/>
        <v>0</v>
      </c>
      <c r="N130" s="335"/>
      <c r="O130" s="162">
        <f t="shared" si="27"/>
        <v>0</v>
      </c>
      <c r="P130" s="162">
        <f t="shared" si="28"/>
        <v>0</v>
      </c>
    </row>
    <row r="131" spans="2:16">
      <c r="B131" s="9" t="str">
        <f t="shared" si="19"/>
        <v/>
      </c>
      <c r="C131" s="157">
        <f>IF(D93="","-",+C130+1)</f>
        <v>2045</v>
      </c>
      <c r="D131" s="158">
        <f>IF(F130+SUM(E$99:E130)=D$92,F130,D$92-SUM(E$99:E130))</f>
        <v>283864</v>
      </c>
      <c r="E131" s="164">
        <f t="shared" si="21"/>
        <v>24083</v>
      </c>
      <c r="F131" s="163">
        <f t="shared" si="22"/>
        <v>259781</v>
      </c>
      <c r="G131" s="163">
        <f t="shared" si="23"/>
        <v>271822.5</v>
      </c>
      <c r="H131" s="167">
        <f t="shared" si="24"/>
        <v>52008.838613809916</v>
      </c>
      <c r="I131" s="317">
        <f t="shared" si="25"/>
        <v>52008.838613809916</v>
      </c>
      <c r="J131" s="162">
        <f t="shared" si="20"/>
        <v>0</v>
      </c>
      <c r="K131" s="162"/>
      <c r="L131" s="335"/>
      <c r="M131" s="162">
        <f t="shared" ref="M131:M154" si="29">IF(L541&lt;&gt;0,+H541-L541,0)</f>
        <v>0</v>
      </c>
      <c r="N131" s="335"/>
      <c r="O131" s="162">
        <f t="shared" ref="O131:O154" si="30">IF(N541&lt;&gt;0,+I541-N541,0)</f>
        <v>0</v>
      </c>
      <c r="P131" s="162">
        <f t="shared" ref="P131:P154" si="31">+O541-M541</f>
        <v>0</v>
      </c>
    </row>
    <row r="132" spans="2:16">
      <c r="B132" s="9" t="str">
        <f t="shared" si="19"/>
        <v/>
      </c>
      <c r="C132" s="157">
        <f>IF(D93="","-",+C131+1)</f>
        <v>2046</v>
      </c>
      <c r="D132" s="158">
        <f>IF(F131+SUM(E$99:E131)=D$92,F131,D$92-SUM(E$99:E131))</f>
        <v>259781</v>
      </c>
      <c r="E132" s="164">
        <f t="shared" si="21"/>
        <v>24083</v>
      </c>
      <c r="F132" s="163">
        <f t="shared" si="22"/>
        <v>235698</v>
      </c>
      <c r="G132" s="163">
        <f t="shared" si="23"/>
        <v>247739.5</v>
      </c>
      <c r="H132" s="167">
        <f t="shared" si="24"/>
        <v>49534.657957917247</v>
      </c>
      <c r="I132" s="317">
        <f t="shared" si="25"/>
        <v>49534.657957917247</v>
      </c>
      <c r="J132" s="162">
        <f t="shared" si="20"/>
        <v>0</v>
      </c>
      <c r="K132" s="162"/>
      <c r="L132" s="335"/>
      <c r="M132" s="162">
        <f t="shared" si="29"/>
        <v>0</v>
      </c>
      <c r="N132" s="335"/>
      <c r="O132" s="162">
        <f t="shared" si="30"/>
        <v>0</v>
      </c>
      <c r="P132" s="162">
        <f t="shared" si="31"/>
        <v>0</v>
      </c>
    </row>
    <row r="133" spans="2:16">
      <c r="B133" s="9" t="str">
        <f t="shared" si="19"/>
        <v/>
      </c>
      <c r="C133" s="157">
        <f>IF(D93="","-",+C132+1)</f>
        <v>2047</v>
      </c>
      <c r="D133" s="158">
        <f>IF(F132+SUM(E$99:E132)=D$92,F132,D$92-SUM(E$99:E132))</f>
        <v>235698</v>
      </c>
      <c r="E133" s="164">
        <f t="shared" si="21"/>
        <v>24083</v>
      </c>
      <c r="F133" s="163">
        <f t="shared" si="22"/>
        <v>211615</v>
      </c>
      <c r="G133" s="163">
        <f t="shared" si="23"/>
        <v>223656.5</v>
      </c>
      <c r="H133" s="167">
        <f t="shared" si="24"/>
        <v>47060.477302024578</v>
      </c>
      <c r="I133" s="317">
        <f t="shared" si="25"/>
        <v>47060.477302024578</v>
      </c>
      <c r="J133" s="162">
        <f t="shared" si="20"/>
        <v>0</v>
      </c>
      <c r="K133" s="162"/>
      <c r="L133" s="335"/>
      <c r="M133" s="162">
        <f t="shared" si="29"/>
        <v>0</v>
      </c>
      <c r="N133" s="335"/>
      <c r="O133" s="162">
        <f t="shared" si="30"/>
        <v>0</v>
      </c>
      <c r="P133" s="162">
        <f t="shared" si="31"/>
        <v>0</v>
      </c>
    </row>
    <row r="134" spans="2:16">
      <c r="B134" s="9" t="str">
        <f t="shared" si="19"/>
        <v/>
      </c>
      <c r="C134" s="157">
        <f>IF(D93="","-",+C133+1)</f>
        <v>2048</v>
      </c>
      <c r="D134" s="158">
        <f>IF(F133+SUM(E$99:E133)=D$92,F133,D$92-SUM(E$99:E133))</f>
        <v>211615</v>
      </c>
      <c r="E134" s="164">
        <f t="shared" si="21"/>
        <v>24083</v>
      </c>
      <c r="F134" s="163">
        <f t="shared" si="22"/>
        <v>187532</v>
      </c>
      <c r="G134" s="163">
        <f t="shared" si="23"/>
        <v>199573.5</v>
      </c>
      <c r="H134" s="167">
        <f t="shared" si="24"/>
        <v>44586.296646131916</v>
      </c>
      <c r="I134" s="317">
        <f t="shared" si="25"/>
        <v>44586.296646131916</v>
      </c>
      <c r="J134" s="162">
        <f t="shared" si="20"/>
        <v>0</v>
      </c>
      <c r="K134" s="162"/>
      <c r="L134" s="335"/>
      <c r="M134" s="162">
        <f t="shared" si="29"/>
        <v>0</v>
      </c>
      <c r="N134" s="335"/>
      <c r="O134" s="162">
        <f t="shared" si="30"/>
        <v>0</v>
      </c>
      <c r="P134" s="162">
        <f t="shared" si="31"/>
        <v>0</v>
      </c>
    </row>
    <row r="135" spans="2:16">
      <c r="B135" s="9" t="str">
        <f t="shared" si="19"/>
        <v/>
      </c>
      <c r="C135" s="157">
        <f>IF(D93="","-",+C134+1)</f>
        <v>2049</v>
      </c>
      <c r="D135" s="158">
        <f>IF(F134+SUM(E$99:E134)=D$92,F134,D$92-SUM(E$99:E134))</f>
        <v>187532</v>
      </c>
      <c r="E135" s="164">
        <f t="shared" si="21"/>
        <v>24083</v>
      </c>
      <c r="F135" s="163">
        <f t="shared" si="22"/>
        <v>163449</v>
      </c>
      <c r="G135" s="163">
        <f t="shared" si="23"/>
        <v>175490.5</v>
      </c>
      <c r="H135" s="167">
        <f t="shared" si="24"/>
        <v>42112.115990239254</v>
      </c>
      <c r="I135" s="317">
        <f t="shared" si="25"/>
        <v>42112.115990239254</v>
      </c>
      <c r="J135" s="162">
        <f t="shared" si="20"/>
        <v>0</v>
      </c>
      <c r="K135" s="162"/>
      <c r="L135" s="335"/>
      <c r="M135" s="162">
        <f t="shared" si="29"/>
        <v>0</v>
      </c>
      <c r="N135" s="335"/>
      <c r="O135" s="162">
        <f t="shared" si="30"/>
        <v>0</v>
      </c>
      <c r="P135" s="162">
        <f t="shared" si="31"/>
        <v>0</v>
      </c>
    </row>
    <row r="136" spans="2:16">
      <c r="B136" s="9" t="str">
        <f t="shared" si="19"/>
        <v/>
      </c>
      <c r="C136" s="157">
        <f>IF(D93="","-",+C135+1)</f>
        <v>2050</v>
      </c>
      <c r="D136" s="158">
        <f>IF(F135+SUM(E$99:E135)=D$92,F135,D$92-SUM(E$99:E135))</f>
        <v>163449</v>
      </c>
      <c r="E136" s="164">
        <f t="shared" si="21"/>
        <v>24083</v>
      </c>
      <c r="F136" s="163">
        <f t="shared" si="22"/>
        <v>139366</v>
      </c>
      <c r="G136" s="163">
        <f t="shared" si="23"/>
        <v>151407.5</v>
      </c>
      <c r="H136" s="167">
        <f t="shared" si="24"/>
        <v>39637.935334346585</v>
      </c>
      <c r="I136" s="317">
        <f t="shared" si="25"/>
        <v>39637.935334346585</v>
      </c>
      <c r="J136" s="162">
        <f t="shared" si="20"/>
        <v>0</v>
      </c>
      <c r="K136" s="162"/>
      <c r="L136" s="335"/>
      <c r="M136" s="162">
        <f t="shared" si="29"/>
        <v>0</v>
      </c>
      <c r="N136" s="335"/>
      <c r="O136" s="162">
        <f t="shared" si="30"/>
        <v>0</v>
      </c>
      <c r="P136" s="162">
        <f t="shared" si="31"/>
        <v>0</v>
      </c>
    </row>
    <row r="137" spans="2:16">
      <c r="B137" s="9" t="str">
        <f t="shared" si="19"/>
        <v/>
      </c>
      <c r="C137" s="157">
        <f>IF(D93="","-",+C136+1)</f>
        <v>2051</v>
      </c>
      <c r="D137" s="158">
        <f>IF(F136+SUM(E$99:E136)=D$92,F136,D$92-SUM(E$99:E136))</f>
        <v>139366</v>
      </c>
      <c r="E137" s="164">
        <f t="shared" si="21"/>
        <v>24083</v>
      </c>
      <c r="F137" s="163">
        <f t="shared" si="22"/>
        <v>115283</v>
      </c>
      <c r="G137" s="163">
        <f t="shared" si="23"/>
        <v>127324.5</v>
      </c>
      <c r="H137" s="167">
        <f t="shared" si="24"/>
        <v>37163.754678453915</v>
      </c>
      <c r="I137" s="317">
        <f t="shared" si="25"/>
        <v>37163.754678453915</v>
      </c>
      <c r="J137" s="162">
        <f t="shared" si="20"/>
        <v>0</v>
      </c>
      <c r="K137" s="162"/>
      <c r="L137" s="335"/>
      <c r="M137" s="162">
        <f t="shared" si="29"/>
        <v>0</v>
      </c>
      <c r="N137" s="335"/>
      <c r="O137" s="162">
        <f t="shared" si="30"/>
        <v>0</v>
      </c>
      <c r="P137" s="162">
        <f t="shared" si="31"/>
        <v>0</v>
      </c>
    </row>
    <row r="138" spans="2:16">
      <c r="B138" s="9" t="str">
        <f t="shared" si="19"/>
        <v/>
      </c>
      <c r="C138" s="157">
        <f>IF(D93="","-",+C137+1)</f>
        <v>2052</v>
      </c>
      <c r="D138" s="158">
        <f>IF(F137+SUM(E$99:E137)=D$92,F137,D$92-SUM(E$99:E137))</f>
        <v>115283</v>
      </c>
      <c r="E138" s="164">
        <f t="shared" si="21"/>
        <v>24083</v>
      </c>
      <c r="F138" s="163">
        <f t="shared" si="22"/>
        <v>91200</v>
      </c>
      <c r="G138" s="163">
        <f t="shared" si="23"/>
        <v>103241.5</v>
      </c>
      <c r="H138" s="167">
        <f t="shared" si="24"/>
        <v>34689.574022561254</v>
      </c>
      <c r="I138" s="317">
        <f t="shared" si="25"/>
        <v>34689.574022561254</v>
      </c>
      <c r="J138" s="162">
        <f t="shared" si="20"/>
        <v>0</v>
      </c>
      <c r="K138" s="162"/>
      <c r="L138" s="335"/>
      <c r="M138" s="162">
        <f t="shared" si="29"/>
        <v>0</v>
      </c>
      <c r="N138" s="335"/>
      <c r="O138" s="162">
        <f t="shared" si="30"/>
        <v>0</v>
      </c>
      <c r="P138" s="162">
        <f t="shared" si="31"/>
        <v>0</v>
      </c>
    </row>
    <row r="139" spans="2:16">
      <c r="B139" s="9" t="str">
        <f t="shared" si="19"/>
        <v/>
      </c>
      <c r="C139" s="157">
        <f>IF(D93="","-",+C138+1)</f>
        <v>2053</v>
      </c>
      <c r="D139" s="158">
        <f>IF(F138+SUM(E$99:E138)=D$92,F138,D$92-SUM(E$99:E138))</f>
        <v>91200</v>
      </c>
      <c r="E139" s="164">
        <f t="shared" si="21"/>
        <v>24083</v>
      </c>
      <c r="F139" s="163">
        <f t="shared" si="22"/>
        <v>67117</v>
      </c>
      <c r="G139" s="163">
        <f t="shared" si="23"/>
        <v>79158.5</v>
      </c>
      <c r="H139" s="167">
        <f t="shared" si="24"/>
        <v>32215.393366668588</v>
      </c>
      <c r="I139" s="317">
        <f t="shared" si="25"/>
        <v>32215.393366668588</v>
      </c>
      <c r="J139" s="162">
        <f t="shared" si="20"/>
        <v>0</v>
      </c>
      <c r="K139" s="162"/>
      <c r="L139" s="335"/>
      <c r="M139" s="162">
        <f t="shared" si="29"/>
        <v>0</v>
      </c>
      <c r="N139" s="335"/>
      <c r="O139" s="162">
        <f t="shared" si="30"/>
        <v>0</v>
      </c>
      <c r="P139" s="162">
        <f t="shared" si="31"/>
        <v>0</v>
      </c>
    </row>
    <row r="140" spans="2:16">
      <c r="B140" s="9" t="str">
        <f t="shared" si="19"/>
        <v/>
      </c>
      <c r="C140" s="157">
        <f>IF(D93="","-",+C139+1)</f>
        <v>2054</v>
      </c>
      <c r="D140" s="158">
        <f>IF(F139+SUM(E$99:E139)=D$92,F139,D$92-SUM(E$99:E139))</f>
        <v>67117</v>
      </c>
      <c r="E140" s="164">
        <f t="shared" si="21"/>
        <v>24083</v>
      </c>
      <c r="F140" s="163">
        <f t="shared" si="22"/>
        <v>43034</v>
      </c>
      <c r="G140" s="163">
        <f t="shared" si="23"/>
        <v>55075.5</v>
      </c>
      <c r="H140" s="167">
        <f t="shared" si="24"/>
        <v>29741.212710775922</v>
      </c>
      <c r="I140" s="317">
        <f t="shared" si="25"/>
        <v>29741.212710775922</v>
      </c>
      <c r="J140" s="162">
        <f t="shared" si="20"/>
        <v>0</v>
      </c>
      <c r="K140" s="162"/>
      <c r="L140" s="335"/>
      <c r="M140" s="162">
        <f t="shared" si="29"/>
        <v>0</v>
      </c>
      <c r="N140" s="335"/>
      <c r="O140" s="162">
        <f t="shared" si="30"/>
        <v>0</v>
      </c>
      <c r="P140" s="162">
        <f t="shared" si="31"/>
        <v>0</v>
      </c>
    </row>
    <row r="141" spans="2:16">
      <c r="B141" s="9" t="str">
        <f t="shared" si="19"/>
        <v/>
      </c>
      <c r="C141" s="157">
        <f>IF(D93="","-",+C140+1)</f>
        <v>2055</v>
      </c>
      <c r="D141" s="158">
        <f>IF(F140+SUM(E$99:E140)=D$92,F140,D$92-SUM(E$99:E140))</f>
        <v>43034</v>
      </c>
      <c r="E141" s="164">
        <f t="shared" si="21"/>
        <v>24083</v>
      </c>
      <c r="F141" s="163">
        <f t="shared" si="22"/>
        <v>18951</v>
      </c>
      <c r="G141" s="163">
        <f t="shared" si="23"/>
        <v>30992.5</v>
      </c>
      <c r="H141" s="167">
        <f t="shared" si="24"/>
        <v>27267.032054883257</v>
      </c>
      <c r="I141" s="317">
        <f t="shared" si="25"/>
        <v>27267.032054883257</v>
      </c>
      <c r="J141" s="162">
        <f t="shared" si="20"/>
        <v>0</v>
      </c>
      <c r="K141" s="162"/>
      <c r="L141" s="335"/>
      <c r="M141" s="162">
        <f t="shared" si="29"/>
        <v>0</v>
      </c>
      <c r="N141" s="335"/>
      <c r="O141" s="162">
        <f t="shared" si="30"/>
        <v>0</v>
      </c>
      <c r="P141" s="162">
        <f t="shared" si="31"/>
        <v>0</v>
      </c>
    </row>
    <row r="142" spans="2:16">
      <c r="B142" s="9" t="str">
        <f t="shared" si="19"/>
        <v/>
      </c>
      <c r="C142" s="157">
        <f>IF(D93="","-",+C141+1)</f>
        <v>2056</v>
      </c>
      <c r="D142" s="158">
        <f>IF(F141+SUM(E$99:E141)=D$92,F141,D$92-SUM(E$99:E141))</f>
        <v>18951</v>
      </c>
      <c r="E142" s="164">
        <f t="shared" si="21"/>
        <v>18951</v>
      </c>
      <c r="F142" s="163">
        <f t="shared" si="22"/>
        <v>0</v>
      </c>
      <c r="G142" s="163">
        <f t="shared" si="23"/>
        <v>9475.5</v>
      </c>
      <c r="H142" s="167">
        <f t="shared" si="24"/>
        <v>19924.470863468461</v>
      </c>
      <c r="I142" s="317">
        <f t="shared" si="25"/>
        <v>19924.470863468461</v>
      </c>
      <c r="J142" s="162">
        <f t="shared" si="20"/>
        <v>0</v>
      </c>
      <c r="K142" s="162"/>
      <c r="L142" s="335"/>
      <c r="M142" s="162">
        <f t="shared" si="29"/>
        <v>0</v>
      </c>
      <c r="N142" s="335"/>
      <c r="O142" s="162">
        <f t="shared" si="30"/>
        <v>0</v>
      </c>
      <c r="P142" s="162">
        <f t="shared" si="31"/>
        <v>0</v>
      </c>
    </row>
    <row r="143" spans="2:16">
      <c r="B143" s="9" t="str">
        <f t="shared" si="19"/>
        <v/>
      </c>
      <c r="C143" s="157">
        <f>IF(D93="","-",+C142+1)</f>
        <v>2057</v>
      </c>
      <c r="D143" s="158">
        <f>IF(F142+SUM(E$99:E142)=D$92,F142,D$92-SUM(E$99:E142))</f>
        <v>0</v>
      </c>
      <c r="E143" s="164">
        <f t="shared" si="21"/>
        <v>0</v>
      </c>
      <c r="F143" s="163">
        <f t="shared" si="22"/>
        <v>0</v>
      </c>
      <c r="G143" s="163">
        <f t="shared" si="23"/>
        <v>0</v>
      </c>
      <c r="H143" s="167">
        <f t="shared" si="24"/>
        <v>0</v>
      </c>
      <c r="I143" s="317">
        <f t="shared" si="25"/>
        <v>0</v>
      </c>
      <c r="J143" s="162">
        <f t="shared" si="20"/>
        <v>0</v>
      </c>
      <c r="K143" s="162"/>
      <c r="L143" s="335"/>
      <c r="M143" s="162">
        <f t="shared" si="29"/>
        <v>0</v>
      </c>
      <c r="N143" s="335"/>
      <c r="O143" s="162">
        <f t="shared" si="30"/>
        <v>0</v>
      </c>
      <c r="P143" s="162">
        <f t="shared" si="31"/>
        <v>0</v>
      </c>
    </row>
    <row r="144" spans="2:16">
      <c r="B144" s="9" t="str">
        <f t="shared" si="19"/>
        <v/>
      </c>
      <c r="C144" s="157">
        <f>IF(D93="","-",+C143+1)</f>
        <v>2058</v>
      </c>
      <c r="D144" s="158">
        <f>IF(F143+SUM(E$99:E143)=D$92,F143,D$92-SUM(E$99:E143))</f>
        <v>0</v>
      </c>
      <c r="E144" s="164">
        <f t="shared" si="21"/>
        <v>0</v>
      </c>
      <c r="F144" s="163">
        <f t="shared" si="22"/>
        <v>0</v>
      </c>
      <c r="G144" s="163">
        <f t="shared" si="23"/>
        <v>0</v>
      </c>
      <c r="H144" s="167">
        <f t="shared" si="24"/>
        <v>0</v>
      </c>
      <c r="I144" s="317">
        <f t="shared" si="25"/>
        <v>0</v>
      </c>
      <c r="J144" s="162">
        <f t="shared" si="20"/>
        <v>0</v>
      </c>
      <c r="K144" s="162"/>
      <c r="L144" s="335"/>
      <c r="M144" s="162">
        <f t="shared" si="29"/>
        <v>0</v>
      </c>
      <c r="N144" s="335"/>
      <c r="O144" s="162">
        <f t="shared" si="30"/>
        <v>0</v>
      </c>
      <c r="P144" s="162">
        <f t="shared" si="31"/>
        <v>0</v>
      </c>
    </row>
    <row r="145" spans="2:16">
      <c r="B145" s="9" t="str">
        <f t="shared" si="19"/>
        <v/>
      </c>
      <c r="C145" s="157">
        <f>IF(D93="","-",+C144+1)</f>
        <v>2059</v>
      </c>
      <c r="D145" s="158">
        <f>IF(F144+SUM(E$99:E144)=D$92,F144,D$92-SUM(E$99:E144))</f>
        <v>0</v>
      </c>
      <c r="E145" s="164">
        <f t="shared" si="21"/>
        <v>0</v>
      </c>
      <c r="F145" s="163">
        <f t="shared" si="22"/>
        <v>0</v>
      </c>
      <c r="G145" s="163">
        <f t="shared" si="23"/>
        <v>0</v>
      </c>
      <c r="H145" s="167">
        <f t="shared" si="24"/>
        <v>0</v>
      </c>
      <c r="I145" s="317">
        <f t="shared" si="25"/>
        <v>0</v>
      </c>
      <c r="J145" s="162">
        <f t="shared" si="20"/>
        <v>0</v>
      </c>
      <c r="K145" s="162"/>
      <c r="L145" s="335"/>
      <c r="M145" s="162">
        <f t="shared" si="29"/>
        <v>0</v>
      </c>
      <c r="N145" s="335"/>
      <c r="O145" s="162">
        <f t="shared" si="30"/>
        <v>0</v>
      </c>
      <c r="P145" s="162">
        <f t="shared" si="31"/>
        <v>0</v>
      </c>
    </row>
    <row r="146" spans="2:16">
      <c r="B146" s="9" t="str">
        <f t="shared" si="19"/>
        <v/>
      </c>
      <c r="C146" s="157">
        <f>IF(D93="","-",+C145+1)</f>
        <v>2060</v>
      </c>
      <c r="D146" s="158">
        <f>IF(F145+SUM(E$99:E145)=D$92,F145,D$92-SUM(E$99:E145))</f>
        <v>0</v>
      </c>
      <c r="E146" s="164">
        <f t="shared" si="21"/>
        <v>0</v>
      </c>
      <c r="F146" s="163">
        <f t="shared" si="22"/>
        <v>0</v>
      </c>
      <c r="G146" s="163">
        <f t="shared" si="23"/>
        <v>0</v>
      </c>
      <c r="H146" s="167">
        <f t="shared" si="24"/>
        <v>0</v>
      </c>
      <c r="I146" s="317">
        <f t="shared" si="25"/>
        <v>0</v>
      </c>
      <c r="J146" s="162">
        <f t="shared" si="20"/>
        <v>0</v>
      </c>
      <c r="K146" s="162"/>
      <c r="L146" s="335"/>
      <c r="M146" s="162">
        <f t="shared" si="29"/>
        <v>0</v>
      </c>
      <c r="N146" s="335"/>
      <c r="O146" s="162">
        <f t="shared" si="30"/>
        <v>0</v>
      </c>
      <c r="P146" s="162">
        <f t="shared" si="31"/>
        <v>0</v>
      </c>
    </row>
    <row r="147" spans="2:16">
      <c r="B147" s="9" t="str">
        <f t="shared" si="19"/>
        <v/>
      </c>
      <c r="C147" s="157">
        <f>IF(D93="","-",+C146+1)</f>
        <v>2061</v>
      </c>
      <c r="D147" s="158">
        <f>IF(F146+SUM(E$99:E146)=D$92,F146,D$92-SUM(E$99:E146))</f>
        <v>0</v>
      </c>
      <c r="E147" s="164">
        <f t="shared" si="21"/>
        <v>0</v>
      </c>
      <c r="F147" s="163">
        <f t="shared" si="22"/>
        <v>0</v>
      </c>
      <c r="G147" s="163">
        <f t="shared" si="23"/>
        <v>0</v>
      </c>
      <c r="H147" s="167">
        <f t="shared" si="24"/>
        <v>0</v>
      </c>
      <c r="I147" s="317">
        <f t="shared" si="25"/>
        <v>0</v>
      </c>
      <c r="J147" s="162">
        <f t="shared" si="20"/>
        <v>0</v>
      </c>
      <c r="K147" s="162"/>
      <c r="L147" s="335"/>
      <c r="M147" s="162">
        <f t="shared" si="29"/>
        <v>0</v>
      </c>
      <c r="N147" s="335"/>
      <c r="O147" s="162">
        <f t="shared" si="30"/>
        <v>0</v>
      </c>
      <c r="P147" s="162">
        <f t="shared" si="31"/>
        <v>0</v>
      </c>
    </row>
    <row r="148" spans="2:16">
      <c r="B148" s="9" t="str">
        <f t="shared" si="19"/>
        <v/>
      </c>
      <c r="C148" s="157">
        <f>IF(D93="","-",+C147+1)</f>
        <v>2062</v>
      </c>
      <c r="D148" s="158">
        <f>IF(F147+SUM(E$99:E147)=D$92,F147,D$92-SUM(E$99:E147))</f>
        <v>0</v>
      </c>
      <c r="E148" s="164">
        <f t="shared" si="21"/>
        <v>0</v>
      </c>
      <c r="F148" s="163">
        <f t="shared" si="22"/>
        <v>0</v>
      </c>
      <c r="G148" s="163">
        <f t="shared" si="23"/>
        <v>0</v>
      </c>
      <c r="H148" s="167">
        <f t="shared" si="24"/>
        <v>0</v>
      </c>
      <c r="I148" s="317">
        <f t="shared" si="25"/>
        <v>0</v>
      </c>
      <c r="J148" s="162">
        <f t="shared" si="20"/>
        <v>0</v>
      </c>
      <c r="K148" s="162"/>
      <c r="L148" s="335"/>
      <c r="M148" s="162">
        <f t="shared" si="29"/>
        <v>0</v>
      </c>
      <c r="N148" s="335"/>
      <c r="O148" s="162">
        <f t="shared" si="30"/>
        <v>0</v>
      </c>
      <c r="P148" s="162">
        <f t="shared" si="31"/>
        <v>0</v>
      </c>
    </row>
    <row r="149" spans="2:16">
      <c r="B149" s="9" t="str">
        <f t="shared" si="19"/>
        <v/>
      </c>
      <c r="C149" s="157">
        <f>IF(D93="","-",+C148+1)</f>
        <v>2063</v>
      </c>
      <c r="D149" s="158">
        <f>IF(F148+SUM(E$99:E148)=D$92,F148,D$92-SUM(E$99:E148))</f>
        <v>0</v>
      </c>
      <c r="E149" s="164">
        <f t="shared" si="21"/>
        <v>0</v>
      </c>
      <c r="F149" s="163">
        <f t="shared" si="22"/>
        <v>0</v>
      </c>
      <c r="G149" s="163">
        <f t="shared" si="23"/>
        <v>0</v>
      </c>
      <c r="H149" s="167">
        <f t="shared" si="24"/>
        <v>0</v>
      </c>
      <c r="I149" s="317">
        <f t="shared" si="25"/>
        <v>0</v>
      </c>
      <c r="J149" s="162">
        <f t="shared" si="20"/>
        <v>0</v>
      </c>
      <c r="K149" s="162"/>
      <c r="L149" s="335"/>
      <c r="M149" s="162">
        <f t="shared" si="29"/>
        <v>0</v>
      </c>
      <c r="N149" s="335"/>
      <c r="O149" s="162">
        <f t="shared" si="30"/>
        <v>0</v>
      </c>
      <c r="P149" s="162">
        <f t="shared" si="31"/>
        <v>0</v>
      </c>
    </row>
    <row r="150" spans="2:16">
      <c r="B150" s="9" t="str">
        <f t="shared" si="19"/>
        <v/>
      </c>
      <c r="C150" s="157">
        <f>IF(D93="","-",+C149+1)</f>
        <v>2064</v>
      </c>
      <c r="D150" s="158">
        <f>IF(F149+SUM(E$99:E149)=D$92,F149,D$92-SUM(E$99:E149))</f>
        <v>0</v>
      </c>
      <c r="E150" s="164">
        <f t="shared" si="21"/>
        <v>0</v>
      </c>
      <c r="F150" s="163">
        <f t="shared" si="22"/>
        <v>0</v>
      </c>
      <c r="G150" s="163">
        <f t="shared" si="23"/>
        <v>0</v>
      </c>
      <c r="H150" s="167">
        <f t="shared" si="24"/>
        <v>0</v>
      </c>
      <c r="I150" s="317">
        <f t="shared" si="25"/>
        <v>0</v>
      </c>
      <c r="J150" s="162">
        <f t="shared" si="20"/>
        <v>0</v>
      </c>
      <c r="K150" s="162"/>
      <c r="L150" s="335"/>
      <c r="M150" s="162">
        <f t="shared" si="29"/>
        <v>0</v>
      </c>
      <c r="N150" s="335"/>
      <c r="O150" s="162">
        <f t="shared" si="30"/>
        <v>0</v>
      </c>
      <c r="P150" s="162">
        <f t="shared" si="31"/>
        <v>0</v>
      </c>
    </row>
    <row r="151" spans="2:16">
      <c r="B151" s="9" t="str">
        <f t="shared" si="19"/>
        <v/>
      </c>
      <c r="C151" s="157">
        <f>IF(D93="","-",+C150+1)</f>
        <v>2065</v>
      </c>
      <c r="D151" s="158">
        <f>IF(F150+SUM(E$99:E150)=D$92,F150,D$92-SUM(E$99:E150))</f>
        <v>0</v>
      </c>
      <c r="E151" s="164">
        <f t="shared" si="21"/>
        <v>0</v>
      </c>
      <c r="F151" s="163">
        <f t="shared" si="22"/>
        <v>0</v>
      </c>
      <c r="G151" s="163">
        <f t="shared" si="23"/>
        <v>0</v>
      </c>
      <c r="H151" s="167">
        <f t="shared" si="24"/>
        <v>0</v>
      </c>
      <c r="I151" s="317">
        <f t="shared" si="25"/>
        <v>0</v>
      </c>
      <c r="J151" s="162">
        <f t="shared" si="20"/>
        <v>0</v>
      </c>
      <c r="K151" s="162"/>
      <c r="L151" s="335"/>
      <c r="M151" s="162">
        <f t="shared" si="29"/>
        <v>0</v>
      </c>
      <c r="N151" s="335"/>
      <c r="O151" s="162">
        <f t="shared" si="30"/>
        <v>0</v>
      </c>
      <c r="P151" s="162">
        <f t="shared" si="31"/>
        <v>0</v>
      </c>
    </row>
    <row r="152" spans="2:16">
      <c r="B152" s="9" t="str">
        <f t="shared" si="19"/>
        <v/>
      </c>
      <c r="C152" s="157">
        <f>IF(D93="","-",+C151+1)</f>
        <v>2066</v>
      </c>
      <c r="D152" s="158">
        <f>IF(F151+SUM(E$99:E151)=D$92,F151,D$92-SUM(E$99:E151))</f>
        <v>0</v>
      </c>
      <c r="E152" s="164">
        <f t="shared" si="21"/>
        <v>0</v>
      </c>
      <c r="F152" s="163">
        <f t="shared" si="22"/>
        <v>0</v>
      </c>
      <c r="G152" s="163">
        <f t="shared" si="23"/>
        <v>0</v>
      </c>
      <c r="H152" s="167">
        <f t="shared" si="24"/>
        <v>0</v>
      </c>
      <c r="I152" s="317">
        <f t="shared" si="25"/>
        <v>0</v>
      </c>
      <c r="J152" s="162">
        <f t="shared" si="20"/>
        <v>0</v>
      </c>
      <c r="K152" s="162"/>
      <c r="L152" s="335"/>
      <c r="M152" s="162">
        <f t="shared" si="29"/>
        <v>0</v>
      </c>
      <c r="N152" s="335"/>
      <c r="O152" s="162">
        <f t="shared" si="30"/>
        <v>0</v>
      </c>
      <c r="P152" s="162">
        <f t="shared" si="31"/>
        <v>0</v>
      </c>
    </row>
    <row r="153" spans="2:16">
      <c r="B153" s="9" t="str">
        <f t="shared" si="19"/>
        <v/>
      </c>
      <c r="C153" s="157">
        <f>IF(D93="","-",+C152+1)</f>
        <v>2067</v>
      </c>
      <c r="D153" s="158">
        <f>IF(F152+SUM(E$99:E152)=D$92,F152,D$92-SUM(E$99:E152))</f>
        <v>0</v>
      </c>
      <c r="E153" s="164">
        <f t="shared" si="21"/>
        <v>0</v>
      </c>
      <c r="F153" s="163">
        <f t="shared" si="22"/>
        <v>0</v>
      </c>
      <c r="G153" s="163">
        <f t="shared" si="23"/>
        <v>0</v>
      </c>
      <c r="H153" s="167">
        <f t="shared" si="24"/>
        <v>0</v>
      </c>
      <c r="I153" s="317">
        <f t="shared" si="25"/>
        <v>0</v>
      </c>
      <c r="J153" s="162">
        <f t="shared" si="20"/>
        <v>0</v>
      </c>
      <c r="K153" s="162"/>
      <c r="L153" s="335"/>
      <c r="M153" s="162">
        <f t="shared" si="29"/>
        <v>0</v>
      </c>
      <c r="N153" s="335"/>
      <c r="O153" s="162">
        <f t="shared" si="30"/>
        <v>0</v>
      </c>
      <c r="P153" s="162">
        <f t="shared" si="31"/>
        <v>0</v>
      </c>
    </row>
    <row r="154" spans="2:16" ht="13.5" thickBot="1">
      <c r="B154" s="9" t="str">
        <f t="shared" si="19"/>
        <v/>
      </c>
      <c r="C154" s="168">
        <f>IF(D93="","-",+C153+1)</f>
        <v>2068</v>
      </c>
      <c r="D154" s="158">
        <f>IF(F153+SUM(E$99:E153)=D$92,F153,D$92-SUM(E$99:E153))</f>
        <v>0</v>
      </c>
      <c r="E154" s="164">
        <f t="shared" si="21"/>
        <v>0</v>
      </c>
      <c r="F154" s="163">
        <f t="shared" si="22"/>
        <v>0</v>
      </c>
      <c r="G154" s="163">
        <f t="shared" si="23"/>
        <v>0</v>
      </c>
      <c r="H154" s="167">
        <f t="shared" si="24"/>
        <v>0</v>
      </c>
      <c r="I154" s="317">
        <f t="shared" si="25"/>
        <v>0</v>
      </c>
      <c r="J154" s="162">
        <f t="shared" si="20"/>
        <v>0</v>
      </c>
      <c r="K154" s="162"/>
      <c r="L154" s="336"/>
      <c r="M154" s="173">
        <f t="shared" si="29"/>
        <v>0</v>
      </c>
      <c r="N154" s="336"/>
      <c r="O154" s="173">
        <f t="shared" si="30"/>
        <v>0</v>
      </c>
      <c r="P154" s="173">
        <f t="shared" si="31"/>
        <v>0</v>
      </c>
    </row>
    <row r="155" spans="2:16">
      <c r="C155" s="158" t="s">
        <v>72</v>
      </c>
      <c r="D155" s="115"/>
      <c r="E155" s="115">
        <f>SUM(E99:E154)</f>
        <v>1035552</v>
      </c>
      <c r="F155" s="115"/>
      <c r="G155" s="115"/>
      <c r="H155" s="115">
        <f>SUM(H99:H154)</f>
        <v>3491692.0212871078</v>
      </c>
      <c r="I155" s="115">
        <f>SUM(I99:I154)</f>
        <v>3491692.0212871078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conditionalFormatting sqref="C17:C72">
    <cfRule type="cellIs" dxfId="31" priority="1" stopIfTrue="1" operator="equal">
      <formula>$I$10</formula>
    </cfRule>
  </conditionalFormatting>
  <conditionalFormatting sqref="C99:C154">
    <cfRule type="cellIs" dxfId="30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/>
  <dimension ref="A1:P162"/>
  <sheetViews>
    <sheetView view="pageBreakPreview" topLeftCell="A67" zoomScale="80" zoomScaleNormal="100" zoomScaleSheetLayoutView="80" workbookViewId="0">
      <selection activeCell="I21" sqref="I21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"&amp;RIGHT(MID(CELL("filename",$A$1),FIND("]",CELL("filename",$A$1))+1,256),2)&amp;" of "&amp;COUNT('P.001:P.xyz - blank'!$P$3)-1</f>
        <v>PSO Project 15 of 28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275</v>
      </c>
      <c r="L5" s="119"/>
      <c r="M5" s="120"/>
      <c r="N5" s="121">
        <f>VLOOKUP(I10,C17:I72,5)</f>
        <v>263885.04985844565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276</v>
      </c>
      <c r="L6" s="125"/>
      <c r="M6" s="4"/>
      <c r="N6" s="126">
        <f>VLOOKUP(I10,C17:I72,6)</f>
        <v>263885.04985844565</v>
      </c>
      <c r="O6" s="1"/>
      <c r="P6" s="1"/>
    </row>
    <row r="7" spans="1:16" ht="13.5" thickBot="1">
      <c r="C7" s="127" t="s">
        <v>41</v>
      </c>
      <c r="D7" s="227" t="s">
        <v>243</v>
      </c>
      <c r="E7" s="405"/>
      <c r="F7" s="405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 t="str">
        <f>IF(D10&lt;100000,"DOES NOT MEET SPP $100,000 MINIMUM INVESTMENT FOR REGIONAL BPU SHARING.","")</f>
        <v/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43</v>
      </c>
      <c r="D9" s="382" t="s">
        <v>242</v>
      </c>
      <c r="E9" s="427" t="s">
        <v>251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2246628.5699999998</v>
      </c>
      <c r="E10" s="64" t="s">
        <v>46</v>
      </c>
      <c r="F10" s="137"/>
      <c r="G10" s="139"/>
      <c r="H10" s="139"/>
      <c r="I10" s="140">
        <f>+PSO.WS.F.BPU.ATRR.Projected!L19</f>
        <v>2020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2014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2</v>
      </c>
      <c r="E12" s="141" t="s">
        <v>51</v>
      </c>
      <c r="F12" s="139"/>
      <c r="G12" s="7"/>
      <c r="H12" s="7"/>
      <c r="I12" s="145">
        <f>PSO.WS.F.BPU.ATRR.Projected!$F$81</f>
        <v>0.10800477690995318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42</v>
      </c>
      <c r="E13" s="141" t="s">
        <v>54</v>
      </c>
      <c r="F13" s="139"/>
      <c r="G13" s="7"/>
      <c r="H13" s="7"/>
      <c r="I13" s="145">
        <f>IF(G5="",I12,PSO.WS.F.BPU.ATRR.Projected!$F$80)</f>
        <v>0.10800477690995318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53491.156428571427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277</v>
      </c>
      <c r="H15" s="362" t="s">
        <v>278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2014</v>
      </c>
      <c r="D17" s="435">
        <v>2295000</v>
      </c>
      <c r="E17" s="440">
        <v>36778.846153846156</v>
      </c>
      <c r="F17" s="435">
        <v>2258221.153846154</v>
      </c>
      <c r="G17" s="440">
        <v>347642.78736560291</v>
      </c>
      <c r="H17" s="438">
        <v>347642.78736560291</v>
      </c>
      <c r="I17" s="160">
        <v>0</v>
      </c>
      <c r="J17" s="160"/>
      <c r="K17" s="338">
        <f t="shared" ref="K17:K22" si="0">G17</f>
        <v>347642.78736560291</v>
      </c>
      <c r="L17" s="439">
        <f t="shared" ref="L17:L22" si="1">IF(K17&lt;&gt;0,+G17-K17,0)</f>
        <v>0</v>
      </c>
      <c r="M17" s="338">
        <f t="shared" ref="M17:M22" si="2">H17</f>
        <v>347642.78736560291</v>
      </c>
      <c r="N17" s="162">
        <f t="shared" ref="N17:N22" si="3">IF(M17&lt;&gt;0,+H17-M17,0)</f>
        <v>0</v>
      </c>
      <c r="O17" s="160">
        <f t="shared" ref="O17:O22" si="4">+N17-L17</f>
        <v>0</v>
      </c>
      <c r="P17" s="4"/>
    </row>
    <row r="18" spans="2:16">
      <c r="B18" s="9" t="str">
        <f>IF(D18=F17,"","IU")</f>
        <v/>
      </c>
      <c r="C18" s="157">
        <f>IF(D11="","-",+C17+1)</f>
        <v>2015</v>
      </c>
      <c r="D18" s="435">
        <v>2258221.153846154</v>
      </c>
      <c r="E18" s="436">
        <v>43204.395576923074</v>
      </c>
      <c r="F18" s="435">
        <v>2215016.7582692308</v>
      </c>
      <c r="G18" s="436">
        <v>348592.42580485216</v>
      </c>
      <c r="H18" s="438">
        <v>348592.42580485216</v>
      </c>
      <c r="I18" s="160">
        <v>0</v>
      </c>
      <c r="J18" s="160"/>
      <c r="K18" s="338">
        <f t="shared" si="0"/>
        <v>348592.42580485216</v>
      </c>
      <c r="L18" s="439">
        <f t="shared" si="1"/>
        <v>0</v>
      </c>
      <c r="M18" s="338">
        <f t="shared" si="2"/>
        <v>348592.42580485216</v>
      </c>
      <c r="N18" s="162">
        <f t="shared" si="3"/>
        <v>0</v>
      </c>
      <c r="O18" s="160">
        <f t="shared" si="4"/>
        <v>0</v>
      </c>
      <c r="P18" s="4"/>
    </row>
    <row r="19" spans="2:16">
      <c r="B19" s="9" t="str">
        <f>IF(D19=F18,"","IU")</f>
        <v>IU</v>
      </c>
      <c r="C19" s="157">
        <f>IF(D11="","-",+C18+1)</f>
        <v>2016</v>
      </c>
      <c r="D19" s="435">
        <v>2166645.3282692307</v>
      </c>
      <c r="E19" s="436">
        <v>43204.395576923074</v>
      </c>
      <c r="F19" s="435">
        <v>2123440.9326923075</v>
      </c>
      <c r="G19" s="436">
        <v>321714.3955769231</v>
      </c>
      <c r="H19" s="438">
        <v>321714.3955769231</v>
      </c>
      <c r="I19" s="160">
        <f>H19-G19</f>
        <v>0</v>
      </c>
      <c r="J19" s="160"/>
      <c r="K19" s="338">
        <f t="shared" si="0"/>
        <v>321714.3955769231</v>
      </c>
      <c r="L19" s="439">
        <f t="shared" si="1"/>
        <v>0</v>
      </c>
      <c r="M19" s="338">
        <f t="shared" si="2"/>
        <v>321714.3955769231</v>
      </c>
      <c r="N19" s="162">
        <f t="shared" si="3"/>
        <v>0</v>
      </c>
      <c r="O19" s="160">
        <f t="shared" si="4"/>
        <v>0</v>
      </c>
      <c r="P19" s="4"/>
    </row>
    <row r="20" spans="2:16">
      <c r="B20" s="9" t="str">
        <f t="shared" ref="B20:B72" si="5">IF(D20=F19,"","IU")</f>
        <v/>
      </c>
      <c r="C20" s="157">
        <f>IF(D11="","-",+C19+1)</f>
        <v>2017</v>
      </c>
      <c r="D20" s="435">
        <v>2123440.9326923075</v>
      </c>
      <c r="E20" s="436">
        <v>48839.751521739126</v>
      </c>
      <c r="F20" s="435">
        <v>2074601.1811705683</v>
      </c>
      <c r="G20" s="436">
        <v>312854.75152173912</v>
      </c>
      <c r="H20" s="438">
        <v>312854.75152173912</v>
      </c>
      <c r="I20" s="160">
        <v>0</v>
      </c>
      <c r="J20" s="160"/>
      <c r="K20" s="338">
        <f t="shared" si="0"/>
        <v>312854.75152173912</v>
      </c>
      <c r="L20" s="439">
        <f t="shared" si="1"/>
        <v>0</v>
      </c>
      <c r="M20" s="338">
        <f t="shared" si="2"/>
        <v>312854.75152173912</v>
      </c>
      <c r="N20" s="162">
        <f t="shared" si="3"/>
        <v>0</v>
      </c>
      <c r="O20" s="160">
        <f t="shared" si="4"/>
        <v>0</v>
      </c>
      <c r="P20" s="4"/>
    </row>
    <row r="21" spans="2:16">
      <c r="B21" s="9" t="str">
        <f t="shared" si="5"/>
        <v/>
      </c>
      <c r="C21" s="157">
        <f>IF(D11="","-",+C20+1)</f>
        <v>2018</v>
      </c>
      <c r="D21" s="435">
        <v>2074601.1811705683</v>
      </c>
      <c r="E21" s="436">
        <v>49925.079333333328</v>
      </c>
      <c r="F21" s="435">
        <v>2024676.101837235</v>
      </c>
      <c r="G21" s="436">
        <v>323935.0793333333</v>
      </c>
      <c r="H21" s="438">
        <v>323935.0793333333</v>
      </c>
      <c r="I21" s="160">
        <f t="shared" ref="I21:I72" si="6">H21-G21</f>
        <v>0</v>
      </c>
      <c r="J21" s="160"/>
      <c r="K21" s="338">
        <f t="shared" si="0"/>
        <v>323935.0793333333</v>
      </c>
      <c r="L21" s="439">
        <f t="shared" si="1"/>
        <v>0</v>
      </c>
      <c r="M21" s="338">
        <f t="shared" si="2"/>
        <v>323935.0793333333</v>
      </c>
      <c r="N21" s="162">
        <f t="shared" si="3"/>
        <v>0</v>
      </c>
      <c r="O21" s="160">
        <f t="shared" si="4"/>
        <v>0</v>
      </c>
      <c r="P21" s="4"/>
    </row>
    <row r="22" spans="2:16">
      <c r="B22" s="9" t="str">
        <f t="shared" si="5"/>
        <v/>
      </c>
      <c r="C22" s="157">
        <f>IF(D11="","-",+C21+1)</f>
        <v>2019</v>
      </c>
      <c r="D22" s="435">
        <v>2024676.101837235</v>
      </c>
      <c r="E22" s="436">
        <v>49925.079333333328</v>
      </c>
      <c r="F22" s="435">
        <v>1974751.0225039017</v>
      </c>
      <c r="G22" s="436">
        <v>317179.0793333333</v>
      </c>
      <c r="H22" s="438">
        <v>317179.0793333333</v>
      </c>
      <c r="I22" s="160">
        <f t="shared" si="6"/>
        <v>0</v>
      </c>
      <c r="J22" s="160"/>
      <c r="K22" s="338">
        <f t="shared" si="0"/>
        <v>317179.0793333333</v>
      </c>
      <c r="L22" s="439">
        <f t="shared" si="1"/>
        <v>0</v>
      </c>
      <c r="M22" s="338">
        <f t="shared" si="2"/>
        <v>317179.0793333333</v>
      </c>
      <c r="N22" s="162">
        <f t="shared" si="3"/>
        <v>0</v>
      </c>
      <c r="O22" s="160">
        <f t="shared" si="4"/>
        <v>0</v>
      </c>
      <c r="P22" s="4"/>
    </row>
    <row r="23" spans="2:16">
      <c r="B23" s="9" t="str">
        <f t="shared" si="5"/>
        <v/>
      </c>
      <c r="C23" s="157">
        <f>IF(D11="","-",+C22+1)</f>
        <v>2020</v>
      </c>
      <c r="D23" s="163">
        <f>IF(F22+SUM(E$17:E22)=D$10,F22,D$10-SUM(E$17:E22))</f>
        <v>1974751.0225039017</v>
      </c>
      <c r="E23" s="164">
        <f t="shared" ref="E23:E72" si="7">IF(+$I$14&lt;F22,$I$14,D23)</f>
        <v>53491.156428571427</v>
      </c>
      <c r="F23" s="163">
        <f t="shared" ref="F23:F72" si="8">+D23-E23</f>
        <v>1921259.8660753304</v>
      </c>
      <c r="G23" s="165">
        <f t="shared" ref="G23:G72" si="9">(D23+F23)/2*I$12+E23</f>
        <v>263885.04985844565</v>
      </c>
      <c r="H23" s="147">
        <f t="shared" ref="H23:H72" si="10">+(D23+F23)/2*I$13+E23</f>
        <v>263885.04985844565</v>
      </c>
      <c r="I23" s="160">
        <f t="shared" si="6"/>
        <v>0</v>
      </c>
      <c r="J23" s="160"/>
      <c r="K23" s="335"/>
      <c r="L23" s="162">
        <f t="shared" ref="L23:L72" si="11">IF(K23&lt;&gt;0,+G23-K23,0)</f>
        <v>0</v>
      </c>
      <c r="M23" s="335"/>
      <c r="N23" s="162">
        <f t="shared" ref="N23:N72" si="12">IF(M23&lt;&gt;0,+H23-M23,0)</f>
        <v>0</v>
      </c>
      <c r="O23" s="162">
        <f t="shared" ref="O23:O72" si="13">+N23-L23</f>
        <v>0</v>
      </c>
      <c r="P23" s="4"/>
    </row>
    <row r="24" spans="2:16">
      <c r="B24" s="9" t="str">
        <f t="shared" si="5"/>
        <v/>
      </c>
      <c r="C24" s="157">
        <f>IF(D11="","-",+C23+1)</f>
        <v>2021</v>
      </c>
      <c r="D24" s="163">
        <f>IF(F23+SUM(E$17:E23)=D$10,F23,D$10-SUM(E$17:E23))</f>
        <v>1921259.8660753304</v>
      </c>
      <c r="E24" s="164">
        <f t="shared" si="7"/>
        <v>53491.156428571427</v>
      </c>
      <c r="F24" s="163">
        <f t="shared" si="8"/>
        <v>1867768.7096467591</v>
      </c>
      <c r="G24" s="165">
        <f t="shared" si="9"/>
        <v>258107.74944172241</v>
      </c>
      <c r="H24" s="147">
        <f t="shared" si="10"/>
        <v>258107.74944172241</v>
      </c>
      <c r="I24" s="160">
        <f t="shared" si="6"/>
        <v>0</v>
      </c>
      <c r="J24" s="160"/>
      <c r="K24" s="335"/>
      <c r="L24" s="162">
        <f t="shared" si="11"/>
        <v>0</v>
      </c>
      <c r="M24" s="335"/>
      <c r="N24" s="162">
        <f t="shared" si="12"/>
        <v>0</v>
      </c>
      <c r="O24" s="162">
        <f t="shared" si="13"/>
        <v>0</v>
      </c>
      <c r="P24" s="4"/>
    </row>
    <row r="25" spans="2:16">
      <c r="B25" s="9" t="str">
        <f t="shared" si="5"/>
        <v/>
      </c>
      <c r="C25" s="157">
        <f>IF(D11="","-",+C24+1)</f>
        <v>2022</v>
      </c>
      <c r="D25" s="163">
        <f>IF(F24+SUM(E$17:E24)=D$10,F24,D$10-SUM(E$17:E24))</f>
        <v>1867768.7096467591</v>
      </c>
      <c r="E25" s="164">
        <f t="shared" si="7"/>
        <v>53491.156428571427</v>
      </c>
      <c r="F25" s="163">
        <f t="shared" si="8"/>
        <v>1814277.5532181878</v>
      </c>
      <c r="G25" s="165">
        <f t="shared" si="9"/>
        <v>252330.44902499911</v>
      </c>
      <c r="H25" s="147">
        <f t="shared" si="10"/>
        <v>252330.44902499911</v>
      </c>
      <c r="I25" s="160">
        <f t="shared" si="6"/>
        <v>0</v>
      </c>
      <c r="J25" s="160"/>
      <c r="K25" s="335"/>
      <c r="L25" s="162">
        <f t="shared" si="11"/>
        <v>0</v>
      </c>
      <c r="M25" s="335"/>
      <c r="N25" s="162">
        <f t="shared" si="12"/>
        <v>0</v>
      </c>
      <c r="O25" s="162">
        <f t="shared" si="13"/>
        <v>0</v>
      </c>
      <c r="P25" s="4"/>
    </row>
    <row r="26" spans="2:16">
      <c r="B26" s="9" t="str">
        <f t="shared" si="5"/>
        <v/>
      </c>
      <c r="C26" s="157">
        <f>IF(D11="","-",+C25+1)</f>
        <v>2023</v>
      </c>
      <c r="D26" s="163">
        <f>IF(F25+SUM(E$17:E25)=D$10,F25,D$10-SUM(E$17:E25))</f>
        <v>1814277.5532181878</v>
      </c>
      <c r="E26" s="164">
        <f t="shared" si="7"/>
        <v>53491.156428571427</v>
      </c>
      <c r="F26" s="163">
        <f t="shared" si="8"/>
        <v>1760786.3967896164</v>
      </c>
      <c r="G26" s="165">
        <f t="shared" si="9"/>
        <v>246553.14860827586</v>
      </c>
      <c r="H26" s="147">
        <f t="shared" si="10"/>
        <v>246553.14860827586</v>
      </c>
      <c r="I26" s="160">
        <f t="shared" si="6"/>
        <v>0</v>
      </c>
      <c r="J26" s="160"/>
      <c r="K26" s="335"/>
      <c r="L26" s="162">
        <f t="shared" si="11"/>
        <v>0</v>
      </c>
      <c r="M26" s="335"/>
      <c r="N26" s="162">
        <f t="shared" si="12"/>
        <v>0</v>
      </c>
      <c r="O26" s="162">
        <f t="shared" si="13"/>
        <v>0</v>
      </c>
      <c r="P26" s="4"/>
    </row>
    <row r="27" spans="2:16">
      <c r="B27" s="9" t="str">
        <f t="shared" si="5"/>
        <v/>
      </c>
      <c r="C27" s="157">
        <f>IF(D11="","-",+C26+1)</f>
        <v>2024</v>
      </c>
      <c r="D27" s="163">
        <f>IF(F26+SUM(E$17:E26)=D$10,F26,D$10-SUM(E$17:E26))</f>
        <v>1760786.3967896164</v>
      </c>
      <c r="E27" s="164">
        <f t="shared" si="7"/>
        <v>53491.156428571427</v>
      </c>
      <c r="F27" s="163">
        <f t="shared" si="8"/>
        <v>1707295.2403610451</v>
      </c>
      <c r="G27" s="165">
        <f t="shared" si="9"/>
        <v>240775.84819155262</v>
      </c>
      <c r="H27" s="147">
        <f t="shared" si="10"/>
        <v>240775.84819155262</v>
      </c>
      <c r="I27" s="160">
        <f t="shared" si="6"/>
        <v>0</v>
      </c>
      <c r="J27" s="160"/>
      <c r="K27" s="335"/>
      <c r="L27" s="162">
        <f t="shared" si="11"/>
        <v>0</v>
      </c>
      <c r="M27" s="335"/>
      <c r="N27" s="162">
        <f t="shared" si="12"/>
        <v>0</v>
      </c>
      <c r="O27" s="162">
        <f t="shared" si="13"/>
        <v>0</v>
      </c>
      <c r="P27" s="4"/>
    </row>
    <row r="28" spans="2:16">
      <c r="B28" s="9" t="str">
        <f t="shared" si="5"/>
        <v/>
      </c>
      <c r="C28" s="157">
        <f>IF(D11="","-",+C27+1)</f>
        <v>2025</v>
      </c>
      <c r="D28" s="163">
        <f>IF(F27+SUM(E$17:E27)=D$10,F27,D$10-SUM(E$17:E27))</f>
        <v>1707295.2403610451</v>
      </c>
      <c r="E28" s="164">
        <f t="shared" si="7"/>
        <v>53491.156428571427</v>
      </c>
      <c r="F28" s="163">
        <f t="shared" si="8"/>
        <v>1653804.0839324738</v>
      </c>
      <c r="G28" s="165">
        <f t="shared" si="9"/>
        <v>234998.54777482938</v>
      </c>
      <c r="H28" s="147">
        <f t="shared" si="10"/>
        <v>234998.54777482938</v>
      </c>
      <c r="I28" s="160">
        <f t="shared" si="6"/>
        <v>0</v>
      </c>
      <c r="J28" s="160"/>
      <c r="K28" s="335"/>
      <c r="L28" s="162">
        <f t="shared" si="11"/>
        <v>0</v>
      </c>
      <c r="M28" s="335"/>
      <c r="N28" s="162">
        <f t="shared" si="12"/>
        <v>0</v>
      </c>
      <c r="O28" s="162">
        <f t="shared" si="13"/>
        <v>0</v>
      </c>
      <c r="P28" s="4"/>
    </row>
    <row r="29" spans="2:16">
      <c r="B29" s="9" t="str">
        <f t="shared" si="5"/>
        <v/>
      </c>
      <c r="C29" s="157">
        <f>IF(D11="","-",+C28+1)</f>
        <v>2026</v>
      </c>
      <c r="D29" s="163">
        <f>IF(F28+SUM(E$17:E28)=D$10,F28,D$10-SUM(E$17:E28))</f>
        <v>1653804.0839324738</v>
      </c>
      <c r="E29" s="164">
        <f t="shared" si="7"/>
        <v>53491.156428571427</v>
      </c>
      <c r="F29" s="163">
        <f t="shared" si="8"/>
        <v>1600312.9275039025</v>
      </c>
      <c r="G29" s="165">
        <f t="shared" si="9"/>
        <v>229221.24735810613</v>
      </c>
      <c r="H29" s="147">
        <f t="shared" si="10"/>
        <v>229221.24735810613</v>
      </c>
      <c r="I29" s="160">
        <f t="shared" si="6"/>
        <v>0</v>
      </c>
      <c r="J29" s="160"/>
      <c r="K29" s="335"/>
      <c r="L29" s="162">
        <f t="shared" si="11"/>
        <v>0</v>
      </c>
      <c r="M29" s="335"/>
      <c r="N29" s="162">
        <f t="shared" si="12"/>
        <v>0</v>
      </c>
      <c r="O29" s="162">
        <f t="shared" si="13"/>
        <v>0</v>
      </c>
      <c r="P29" s="4"/>
    </row>
    <row r="30" spans="2:16">
      <c r="B30" s="9" t="str">
        <f t="shared" si="5"/>
        <v/>
      </c>
      <c r="C30" s="157">
        <f>IF(D11="","-",+C29+1)</f>
        <v>2027</v>
      </c>
      <c r="D30" s="163">
        <f>IF(F29+SUM(E$17:E29)=D$10,F29,D$10-SUM(E$17:E29))</f>
        <v>1600312.9275039025</v>
      </c>
      <c r="E30" s="164">
        <f t="shared" si="7"/>
        <v>53491.156428571427</v>
      </c>
      <c r="F30" s="163">
        <f t="shared" si="8"/>
        <v>1546821.7710753311</v>
      </c>
      <c r="G30" s="165">
        <f t="shared" si="9"/>
        <v>223443.94694138283</v>
      </c>
      <c r="H30" s="147">
        <f t="shared" si="10"/>
        <v>223443.94694138283</v>
      </c>
      <c r="I30" s="160">
        <f t="shared" si="6"/>
        <v>0</v>
      </c>
      <c r="J30" s="160"/>
      <c r="K30" s="335"/>
      <c r="L30" s="162">
        <f t="shared" si="11"/>
        <v>0</v>
      </c>
      <c r="M30" s="335"/>
      <c r="N30" s="162">
        <f t="shared" si="12"/>
        <v>0</v>
      </c>
      <c r="O30" s="162">
        <f t="shared" si="13"/>
        <v>0</v>
      </c>
      <c r="P30" s="4"/>
    </row>
    <row r="31" spans="2:16">
      <c r="B31" s="9" t="str">
        <f t="shared" si="5"/>
        <v/>
      </c>
      <c r="C31" s="157">
        <f>IF(D11="","-",+C30+1)</f>
        <v>2028</v>
      </c>
      <c r="D31" s="163">
        <f>IF(F30+SUM(E$17:E30)=D$10,F30,D$10-SUM(E$17:E30))</f>
        <v>1546821.7710753311</v>
      </c>
      <c r="E31" s="164">
        <f t="shared" si="7"/>
        <v>53491.156428571427</v>
      </c>
      <c r="F31" s="163">
        <f t="shared" si="8"/>
        <v>1493330.6146467598</v>
      </c>
      <c r="G31" s="165">
        <f t="shared" si="9"/>
        <v>217666.64652465959</v>
      </c>
      <c r="H31" s="147">
        <f t="shared" si="10"/>
        <v>217666.64652465959</v>
      </c>
      <c r="I31" s="160">
        <f t="shared" si="6"/>
        <v>0</v>
      </c>
      <c r="J31" s="160"/>
      <c r="K31" s="335"/>
      <c r="L31" s="162">
        <f t="shared" si="11"/>
        <v>0</v>
      </c>
      <c r="M31" s="335"/>
      <c r="N31" s="162">
        <f t="shared" si="12"/>
        <v>0</v>
      </c>
      <c r="O31" s="162">
        <f t="shared" si="13"/>
        <v>0</v>
      </c>
      <c r="P31" s="4"/>
    </row>
    <row r="32" spans="2:16">
      <c r="B32" s="9" t="str">
        <f t="shared" si="5"/>
        <v/>
      </c>
      <c r="C32" s="157">
        <f>IF(D11="","-",+C31+1)</f>
        <v>2029</v>
      </c>
      <c r="D32" s="163">
        <f>IF(F31+SUM(E$17:E31)=D$10,F31,D$10-SUM(E$17:E31))</f>
        <v>1493330.6146467598</v>
      </c>
      <c r="E32" s="164">
        <f t="shared" si="7"/>
        <v>53491.156428571427</v>
      </c>
      <c r="F32" s="163">
        <f t="shared" si="8"/>
        <v>1439839.4582181885</v>
      </c>
      <c r="G32" s="165">
        <f t="shared" si="9"/>
        <v>211889.34610793635</v>
      </c>
      <c r="H32" s="147">
        <f t="shared" si="10"/>
        <v>211889.34610793635</v>
      </c>
      <c r="I32" s="160">
        <f t="shared" si="6"/>
        <v>0</v>
      </c>
      <c r="J32" s="160"/>
      <c r="K32" s="335"/>
      <c r="L32" s="162">
        <f t="shared" si="11"/>
        <v>0</v>
      </c>
      <c r="M32" s="335"/>
      <c r="N32" s="162">
        <f t="shared" si="12"/>
        <v>0</v>
      </c>
      <c r="O32" s="162">
        <f t="shared" si="13"/>
        <v>0</v>
      </c>
      <c r="P32" s="4"/>
    </row>
    <row r="33" spans="2:16">
      <c r="B33" s="9" t="str">
        <f t="shared" si="5"/>
        <v/>
      </c>
      <c r="C33" s="157">
        <f>IF(D11="","-",+C32+1)</f>
        <v>2030</v>
      </c>
      <c r="D33" s="163">
        <f>IF(F32+SUM(E$17:E32)=D$10,F32,D$10-SUM(E$17:E32))</f>
        <v>1439839.4582181885</v>
      </c>
      <c r="E33" s="164">
        <f t="shared" si="7"/>
        <v>53491.156428571427</v>
      </c>
      <c r="F33" s="163">
        <f t="shared" si="8"/>
        <v>1386348.3017896172</v>
      </c>
      <c r="G33" s="165">
        <f t="shared" si="9"/>
        <v>206112.0456912131</v>
      </c>
      <c r="H33" s="147">
        <f t="shared" si="10"/>
        <v>206112.0456912131</v>
      </c>
      <c r="I33" s="160">
        <f t="shared" si="6"/>
        <v>0</v>
      </c>
      <c r="J33" s="160"/>
      <c r="K33" s="335"/>
      <c r="L33" s="162">
        <f t="shared" si="11"/>
        <v>0</v>
      </c>
      <c r="M33" s="335"/>
      <c r="N33" s="162">
        <f t="shared" si="12"/>
        <v>0</v>
      </c>
      <c r="O33" s="162">
        <f t="shared" si="13"/>
        <v>0</v>
      </c>
      <c r="P33" s="4"/>
    </row>
    <row r="34" spans="2:16">
      <c r="B34" s="9" t="str">
        <f t="shared" si="5"/>
        <v/>
      </c>
      <c r="C34" s="157">
        <f>IF(D11="","-",+C33+1)</f>
        <v>2031</v>
      </c>
      <c r="D34" s="163">
        <f>IF(F33+SUM(E$17:E33)=D$10,F33,D$10-SUM(E$17:E33))</f>
        <v>1386348.3017896172</v>
      </c>
      <c r="E34" s="164">
        <f t="shared" si="7"/>
        <v>53491.156428571427</v>
      </c>
      <c r="F34" s="163">
        <f t="shared" si="8"/>
        <v>1332857.1453610458</v>
      </c>
      <c r="G34" s="165">
        <f t="shared" si="9"/>
        <v>200334.74527448986</v>
      </c>
      <c r="H34" s="147">
        <f t="shared" si="10"/>
        <v>200334.74527448986</v>
      </c>
      <c r="I34" s="160">
        <f t="shared" si="6"/>
        <v>0</v>
      </c>
      <c r="J34" s="160"/>
      <c r="K34" s="335"/>
      <c r="L34" s="162">
        <f t="shared" si="11"/>
        <v>0</v>
      </c>
      <c r="M34" s="335"/>
      <c r="N34" s="162">
        <f t="shared" si="12"/>
        <v>0</v>
      </c>
      <c r="O34" s="162">
        <f t="shared" si="13"/>
        <v>0</v>
      </c>
      <c r="P34" s="4"/>
    </row>
    <row r="35" spans="2:16">
      <c r="B35" s="9" t="str">
        <f t="shared" si="5"/>
        <v/>
      </c>
      <c r="C35" s="157">
        <f>IF(D11="","-",+C34+1)</f>
        <v>2032</v>
      </c>
      <c r="D35" s="163">
        <f>IF(F34+SUM(E$17:E34)=D$10,F34,D$10-SUM(E$17:E34))</f>
        <v>1332857.1453610458</v>
      </c>
      <c r="E35" s="164">
        <f t="shared" si="7"/>
        <v>53491.156428571427</v>
      </c>
      <c r="F35" s="163">
        <f t="shared" si="8"/>
        <v>1279365.9889324745</v>
      </c>
      <c r="G35" s="165">
        <f t="shared" si="9"/>
        <v>194557.44485776662</v>
      </c>
      <c r="H35" s="147">
        <f t="shared" si="10"/>
        <v>194557.44485776662</v>
      </c>
      <c r="I35" s="160">
        <f t="shared" si="6"/>
        <v>0</v>
      </c>
      <c r="J35" s="160"/>
      <c r="K35" s="335"/>
      <c r="L35" s="162">
        <f t="shared" si="11"/>
        <v>0</v>
      </c>
      <c r="M35" s="335"/>
      <c r="N35" s="162">
        <f t="shared" si="12"/>
        <v>0</v>
      </c>
      <c r="O35" s="162">
        <f t="shared" si="13"/>
        <v>0</v>
      </c>
      <c r="P35" s="4"/>
    </row>
    <row r="36" spans="2:16">
      <c r="B36" s="9" t="str">
        <f t="shared" si="5"/>
        <v/>
      </c>
      <c r="C36" s="157">
        <f>IF(D11="","-",+C35+1)</f>
        <v>2033</v>
      </c>
      <c r="D36" s="163">
        <f>IF(F35+SUM(E$17:E35)=D$10,F35,D$10-SUM(E$17:E35))</f>
        <v>1279365.9889324745</v>
      </c>
      <c r="E36" s="164">
        <f t="shared" si="7"/>
        <v>53491.156428571427</v>
      </c>
      <c r="F36" s="163">
        <f t="shared" si="8"/>
        <v>1225874.8325039032</v>
      </c>
      <c r="G36" s="165">
        <f t="shared" si="9"/>
        <v>188780.14444104332</v>
      </c>
      <c r="H36" s="147">
        <f t="shared" si="10"/>
        <v>188780.14444104332</v>
      </c>
      <c r="I36" s="160">
        <f t="shared" si="6"/>
        <v>0</v>
      </c>
      <c r="J36" s="160"/>
      <c r="K36" s="335"/>
      <c r="L36" s="162">
        <f t="shared" si="11"/>
        <v>0</v>
      </c>
      <c r="M36" s="335"/>
      <c r="N36" s="162">
        <f t="shared" si="12"/>
        <v>0</v>
      </c>
      <c r="O36" s="162">
        <f t="shared" si="13"/>
        <v>0</v>
      </c>
      <c r="P36" s="4"/>
    </row>
    <row r="37" spans="2:16">
      <c r="B37" s="9" t="str">
        <f t="shared" si="5"/>
        <v/>
      </c>
      <c r="C37" s="157">
        <f>IF(D11="","-",+C36+1)</f>
        <v>2034</v>
      </c>
      <c r="D37" s="163">
        <f>IF(F36+SUM(E$17:E36)=D$10,F36,D$10-SUM(E$17:E36))</f>
        <v>1225874.8325039032</v>
      </c>
      <c r="E37" s="164">
        <f t="shared" si="7"/>
        <v>53491.156428571427</v>
      </c>
      <c r="F37" s="163">
        <f t="shared" si="8"/>
        <v>1172383.6760753319</v>
      </c>
      <c r="G37" s="165">
        <f t="shared" si="9"/>
        <v>183002.84402432007</v>
      </c>
      <c r="H37" s="147">
        <f t="shared" si="10"/>
        <v>183002.84402432007</v>
      </c>
      <c r="I37" s="160">
        <f t="shared" si="6"/>
        <v>0</v>
      </c>
      <c r="J37" s="160"/>
      <c r="K37" s="335"/>
      <c r="L37" s="162">
        <f t="shared" si="11"/>
        <v>0</v>
      </c>
      <c r="M37" s="335"/>
      <c r="N37" s="162">
        <f t="shared" si="12"/>
        <v>0</v>
      </c>
      <c r="O37" s="162">
        <f t="shared" si="13"/>
        <v>0</v>
      </c>
      <c r="P37" s="4"/>
    </row>
    <row r="38" spans="2:16">
      <c r="B38" s="9" t="str">
        <f t="shared" si="5"/>
        <v/>
      </c>
      <c r="C38" s="157">
        <f>IF(D11="","-",+C37+1)</f>
        <v>2035</v>
      </c>
      <c r="D38" s="163">
        <f>IF(F37+SUM(E$17:E37)=D$10,F37,D$10-SUM(E$17:E37))</f>
        <v>1172383.6760753319</v>
      </c>
      <c r="E38" s="164">
        <f t="shared" si="7"/>
        <v>53491.156428571427</v>
      </c>
      <c r="F38" s="163">
        <f t="shared" si="8"/>
        <v>1118892.5196467605</v>
      </c>
      <c r="G38" s="165">
        <f t="shared" si="9"/>
        <v>177225.54360759683</v>
      </c>
      <c r="H38" s="147">
        <f t="shared" si="10"/>
        <v>177225.54360759683</v>
      </c>
      <c r="I38" s="160">
        <f t="shared" si="6"/>
        <v>0</v>
      </c>
      <c r="J38" s="160"/>
      <c r="K38" s="335"/>
      <c r="L38" s="162">
        <f t="shared" si="11"/>
        <v>0</v>
      </c>
      <c r="M38" s="335"/>
      <c r="N38" s="162">
        <f t="shared" si="12"/>
        <v>0</v>
      </c>
      <c r="O38" s="162">
        <f t="shared" si="13"/>
        <v>0</v>
      </c>
      <c r="P38" s="4"/>
    </row>
    <row r="39" spans="2:16">
      <c r="B39" s="9" t="str">
        <f t="shared" si="5"/>
        <v/>
      </c>
      <c r="C39" s="157">
        <f>IF(D11="","-",+C38+1)</f>
        <v>2036</v>
      </c>
      <c r="D39" s="163">
        <f>IF(F38+SUM(E$17:E38)=D$10,F38,D$10-SUM(E$17:E38))</f>
        <v>1118892.5196467605</v>
      </c>
      <c r="E39" s="164">
        <f t="shared" si="7"/>
        <v>53491.156428571427</v>
      </c>
      <c r="F39" s="163">
        <f t="shared" si="8"/>
        <v>1065401.3632181892</v>
      </c>
      <c r="G39" s="165">
        <f t="shared" si="9"/>
        <v>171448.24319087359</v>
      </c>
      <c r="H39" s="147">
        <f t="shared" si="10"/>
        <v>171448.24319087359</v>
      </c>
      <c r="I39" s="160">
        <f t="shared" si="6"/>
        <v>0</v>
      </c>
      <c r="J39" s="160"/>
      <c r="K39" s="335"/>
      <c r="L39" s="162">
        <f t="shared" si="11"/>
        <v>0</v>
      </c>
      <c r="M39" s="335"/>
      <c r="N39" s="162">
        <f t="shared" si="12"/>
        <v>0</v>
      </c>
      <c r="O39" s="162">
        <f t="shared" si="13"/>
        <v>0</v>
      </c>
      <c r="P39" s="4"/>
    </row>
    <row r="40" spans="2:16">
      <c r="B40" s="9" t="str">
        <f t="shared" si="5"/>
        <v/>
      </c>
      <c r="C40" s="157">
        <f>IF(D11="","-",+C39+1)</f>
        <v>2037</v>
      </c>
      <c r="D40" s="163">
        <f>IF(F39+SUM(E$17:E39)=D$10,F39,D$10-SUM(E$17:E39))</f>
        <v>1065401.3632181892</v>
      </c>
      <c r="E40" s="164">
        <f t="shared" si="7"/>
        <v>53491.156428571427</v>
      </c>
      <c r="F40" s="163">
        <f t="shared" si="8"/>
        <v>1011910.2067896178</v>
      </c>
      <c r="G40" s="165">
        <f t="shared" si="9"/>
        <v>165670.94277415032</v>
      </c>
      <c r="H40" s="147">
        <f t="shared" si="10"/>
        <v>165670.94277415032</v>
      </c>
      <c r="I40" s="160">
        <f t="shared" si="6"/>
        <v>0</v>
      </c>
      <c r="J40" s="160"/>
      <c r="K40" s="335"/>
      <c r="L40" s="162">
        <f t="shared" si="11"/>
        <v>0</v>
      </c>
      <c r="M40" s="335"/>
      <c r="N40" s="162">
        <f t="shared" si="12"/>
        <v>0</v>
      </c>
      <c r="O40" s="162">
        <f t="shared" si="13"/>
        <v>0</v>
      </c>
      <c r="P40" s="4"/>
    </row>
    <row r="41" spans="2:16">
      <c r="B41" s="9" t="str">
        <f t="shared" si="5"/>
        <v/>
      </c>
      <c r="C41" s="157">
        <f>IF(D11="","-",+C40+1)</f>
        <v>2038</v>
      </c>
      <c r="D41" s="163">
        <f>IF(F40+SUM(E$17:E40)=D$10,F40,D$10-SUM(E$17:E40))</f>
        <v>1011910.2067896178</v>
      </c>
      <c r="E41" s="164">
        <f t="shared" si="7"/>
        <v>53491.156428571427</v>
      </c>
      <c r="F41" s="163">
        <f t="shared" si="8"/>
        <v>958419.05036104633</v>
      </c>
      <c r="G41" s="165">
        <f t="shared" si="9"/>
        <v>159893.64235742704</v>
      </c>
      <c r="H41" s="147">
        <f t="shared" si="10"/>
        <v>159893.64235742704</v>
      </c>
      <c r="I41" s="160">
        <f t="shared" si="6"/>
        <v>0</v>
      </c>
      <c r="J41" s="160"/>
      <c r="K41" s="335"/>
      <c r="L41" s="162">
        <f t="shared" si="11"/>
        <v>0</v>
      </c>
      <c r="M41" s="335"/>
      <c r="N41" s="162">
        <f t="shared" si="12"/>
        <v>0</v>
      </c>
      <c r="O41" s="162">
        <f t="shared" si="13"/>
        <v>0</v>
      </c>
      <c r="P41" s="4"/>
    </row>
    <row r="42" spans="2:16">
      <c r="B42" s="9" t="str">
        <f t="shared" si="5"/>
        <v/>
      </c>
      <c r="C42" s="157">
        <f>IF(D11="","-",+C41+1)</f>
        <v>2039</v>
      </c>
      <c r="D42" s="163">
        <f>IF(F41+SUM(E$17:E41)=D$10,F41,D$10-SUM(E$17:E41))</f>
        <v>958419.05036104633</v>
      </c>
      <c r="E42" s="164">
        <f t="shared" si="7"/>
        <v>53491.156428571427</v>
      </c>
      <c r="F42" s="163">
        <f t="shared" si="8"/>
        <v>904927.89393247489</v>
      </c>
      <c r="G42" s="165">
        <f t="shared" si="9"/>
        <v>154116.3419407038</v>
      </c>
      <c r="H42" s="147">
        <f t="shared" si="10"/>
        <v>154116.3419407038</v>
      </c>
      <c r="I42" s="160">
        <f t="shared" si="6"/>
        <v>0</v>
      </c>
      <c r="J42" s="160"/>
      <c r="K42" s="335"/>
      <c r="L42" s="162">
        <f t="shared" si="11"/>
        <v>0</v>
      </c>
      <c r="M42" s="335"/>
      <c r="N42" s="162">
        <f t="shared" si="12"/>
        <v>0</v>
      </c>
      <c r="O42" s="162">
        <f t="shared" si="13"/>
        <v>0</v>
      </c>
      <c r="P42" s="4"/>
    </row>
    <row r="43" spans="2:16">
      <c r="B43" s="9" t="str">
        <f t="shared" si="5"/>
        <v/>
      </c>
      <c r="C43" s="157">
        <f>IF(D11="","-",+C42+1)</f>
        <v>2040</v>
      </c>
      <c r="D43" s="163">
        <f>IF(F42+SUM(E$17:E42)=D$10,F42,D$10-SUM(E$17:E42))</f>
        <v>904927.89393247489</v>
      </c>
      <c r="E43" s="164">
        <f t="shared" si="7"/>
        <v>53491.156428571427</v>
      </c>
      <c r="F43" s="163">
        <f t="shared" si="8"/>
        <v>851436.73750390345</v>
      </c>
      <c r="G43" s="165">
        <f t="shared" si="9"/>
        <v>148339.0415239805</v>
      </c>
      <c r="H43" s="147">
        <f t="shared" si="10"/>
        <v>148339.0415239805</v>
      </c>
      <c r="I43" s="160">
        <f t="shared" si="6"/>
        <v>0</v>
      </c>
      <c r="J43" s="160"/>
      <c r="K43" s="335"/>
      <c r="L43" s="162">
        <f t="shared" si="11"/>
        <v>0</v>
      </c>
      <c r="M43" s="335"/>
      <c r="N43" s="162">
        <f t="shared" si="12"/>
        <v>0</v>
      </c>
      <c r="O43" s="162">
        <f t="shared" si="13"/>
        <v>0</v>
      </c>
      <c r="P43" s="4"/>
    </row>
    <row r="44" spans="2:16">
      <c r="B44" s="9" t="str">
        <f t="shared" si="5"/>
        <v/>
      </c>
      <c r="C44" s="157">
        <f>IF(D11="","-",+C43+1)</f>
        <v>2041</v>
      </c>
      <c r="D44" s="163">
        <f>IF(F43+SUM(E$17:E43)=D$10,F43,D$10-SUM(E$17:E43))</f>
        <v>851436.73750390345</v>
      </c>
      <c r="E44" s="164">
        <f t="shared" si="7"/>
        <v>53491.156428571427</v>
      </c>
      <c r="F44" s="163">
        <f t="shared" si="8"/>
        <v>797945.58107533201</v>
      </c>
      <c r="G44" s="165">
        <f t="shared" si="9"/>
        <v>142561.74110725726</v>
      </c>
      <c r="H44" s="147">
        <f t="shared" si="10"/>
        <v>142561.74110725726</v>
      </c>
      <c r="I44" s="160">
        <f t="shared" si="6"/>
        <v>0</v>
      </c>
      <c r="J44" s="160"/>
      <c r="K44" s="335"/>
      <c r="L44" s="162">
        <f t="shared" si="11"/>
        <v>0</v>
      </c>
      <c r="M44" s="335"/>
      <c r="N44" s="162">
        <f t="shared" si="12"/>
        <v>0</v>
      </c>
      <c r="O44" s="162">
        <f t="shared" si="13"/>
        <v>0</v>
      </c>
      <c r="P44" s="4"/>
    </row>
    <row r="45" spans="2:16">
      <c r="B45" s="9" t="str">
        <f t="shared" si="5"/>
        <v/>
      </c>
      <c r="C45" s="157">
        <f>IF(D11="","-",+C44+1)</f>
        <v>2042</v>
      </c>
      <c r="D45" s="163">
        <f>IF(F44+SUM(E$17:E44)=D$10,F44,D$10-SUM(E$17:E44))</f>
        <v>797945.58107533201</v>
      </c>
      <c r="E45" s="164">
        <f t="shared" si="7"/>
        <v>53491.156428571427</v>
      </c>
      <c r="F45" s="163">
        <f t="shared" si="8"/>
        <v>744454.42464676057</v>
      </c>
      <c r="G45" s="165">
        <f t="shared" si="9"/>
        <v>136784.44069053399</v>
      </c>
      <c r="H45" s="147">
        <f t="shared" si="10"/>
        <v>136784.44069053399</v>
      </c>
      <c r="I45" s="160">
        <f t="shared" si="6"/>
        <v>0</v>
      </c>
      <c r="J45" s="160"/>
      <c r="K45" s="335"/>
      <c r="L45" s="162">
        <f t="shared" si="11"/>
        <v>0</v>
      </c>
      <c r="M45" s="335"/>
      <c r="N45" s="162">
        <f t="shared" si="12"/>
        <v>0</v>
      </c>
      <c r="O45" s="162">
        <f t="shared" si="13"/>
        <v>0</v>
      </c>
      <c r="P45" s="4"/>
    </row>
    <row r="46" spans="2:16">
      <c r="B46" s="9" t="str">
        <f t="shared" si="5"/>
        <v/>
      </c>
      <c r="C46" s="157">
        <f>IF(D11="","-",+C45+1)</f>
        <v>2043</v>
      </c>
      <c r="D46" s="163">
        <f>IF(F45+SUM(E$17:E45)=D$10,F45,D$10-SUM(E$17:E45))</f>
        <v>744454.42464676057</v>
      </c>
      <c r="E46" s="164">
        <f t="shared" si="7"/>
        <v>53491.156428571427</v>
      </c>
      <c r="F46" s="163">
        <f t="shared" si="8"/>
        <v>690963.26821818913</v>
      </c>
      <c r="G46" s="165">
        <f t="shared" si="9"/>
        <v>131007.14027381073</v>
      </c>
      <c r="H46" s="147">
        <f t="shared" si="10"/>
        <v>131007.14027381073</v>
      </c>
      <c r="I46" s="160">
        <f t="shared" si="6"/>
        <v>0</v>
      </c>
      <c r="J46" s="160"/>
      <c r="K46" s="335"/>
      <c r="L46" s="162">
        <f t="shared" si="11"/>
        <v>0</v>
      </c>
      <c r="M46" s="335"/>
      <c r="N46" s="162">
        <f t="shared" si="12"/>
        <v>0</v>
      </c>
      <c r="O46" s="162">
        <f t="shared" si="13"/>
        <v>0</v>
      </c>
      <c r="P46" s="4"/>
    </row>
    <row r="47" spans="2:16">
      <c r="B47" s="9" t="str">
        <f t="shared" si="5"/>
        <v/>
      </c>
      <c r="C47" s="157">
        <f>IF(D11="","-",+C46+1)</f>
        <v>2044</v>
      </c>
      <c r="D47" s="163">
        <f>IF(F46+SUM(E$17:E46)=D$10,F46,D$10-SUM(E$17:E46))</f>
        <v>690963.26821818913</v>
      </c>
      <c r="E47" s="164">
        <f t="shared" si="7"/>
        <v>53491.156428571427</v>
      </c>
      <c r="F47" s="163">
        <f t="shared" si="8"/>
        <v>637472.11178961769</v>
      </c>
      <c r="G47" s="165">
        <f t="shared" si="9"/>
        <v>125229.83985708744</v>
      </c>
      <c r="H47" s="147">
        <f t="shared" si="10"/>
        <v>125229.83985708744</v>
      </c>
      <c r="I47" s="160">
        <f t="shared" si="6"/>
        <v>0</v>
      </c>
      <c r="J47" s="160"/>
      <c r="K47" s="335"/>
      <c r="L47" s="162">
        <f t="shared" si="11"/>
        <v>0</v>
      </c>
      <c r="M47" s="335"/>
      <c r="N47" s="162">
        <f t="shared" si="12"/>
        <v>0</v>
      </c>
      <c r="O47" s="162">
        <f t="shared" si="13"/>
        <v>0</v>
      </c>
      <c r="P47" s="4"/>
    </row>
    <row r="48" spans="2:16">
      <c r="B48" s="9" t="str">
        <f t="shared" si="5"/>
        <v/>
      </c>
      <c r="C48" s="157">
        <f>IF(D11="","-",+C47+1)</f>
        <v>2045</v>
      </c>
      <c r="D48" s="163">
        <f>IF(F47+SUM(E$17:E47)=D$10,F47,D$10-SUM(E$17:E47))</f>
        <v>637472.11178961769</v>
      </c>
      <c r="E48" s="164">
        <f t="shared" si="7"/>
        <v>53491.156428571427</v>
      </c>
      <c r="F48" s="163">
        <f t="shared" si="8"/>
        <v>583980.95536104625</v>
      </c>
      <c r="G48" s="165">
        <f t="shared" si="9"/>
        <v>119452.5394403642</v>
      </c>
      <c r="H48" s="147">
        <f t="shared" si="10"/>
        <v>119452.5394403642</v>
      </c>
      <c r="I48" s="160">
        <f t="shared" si="6"/>
        <v>0</v>
      </c>
      <c r="J48" s="160"/>
      <c r="K48" s="335"/>
      <c r="L48" s="162">
        <f t="shared" si="11"/>
        <v>0</v>
      </c>
      <c r="M48" s="335"/>
      <c r="N48" s="162">
        <f t="shared" si="12"/>
        <v>0</v>
      </c>
      <c r="O48" s="162">
        <f t="shared" si="13"/>
        <v>0</v>
      </c>
      <c r="P48" s="4"/>
    </row>
    <row r="49" spans="2:16">
      <c r="B49" s="9" t="str">
        <f t="shared" si="5"/>
        <v/>
      </c>
      <c r="C49" s="157">
        <f>IF(D11="","-",+C48+1)</f>
        <v>2046</v>
      </c>
      <c r="D49" s="163">
        <f>IF(F48+SUM(E$17:E48)=D$10,F48,D$10-SUM(E$17:E48))</f>
        <v>583980.95536104625</v>
      </c>
      <c r="E49" s="164">
        <f t="shared" si="7"/>
        <v>53491.156428571427</v>
      </c>
      <c r="F49" s="163">
        <f t="shared" si="8"/>
        <v>530489.79893247481</v>
      </c>
      <c r="G49" s="165">
        <f t="shared" si="9"/>
        <v>113675.23902364091</v>
      </c>
      <c r="H49" s="147">
        <f t="shared" si="10"/>
        <v>113675.23902364091</v>
      </c>
      <c r="I49" s="160">
        <f t="shared" si="6"/>
        <v>0</v>
      </c>
      <c r="J49" s="160"/>
      <c r="K49" s="335"/>
      <c r="L49" s="162">
        <f t="shared" si="11"/>
        <v>0</v>
      </c>
      <c r="M49" s="335"/>
      <c r="N49" s="162">
        <f t="shared" si="12"/>
        <v>0</v>
      </c>
      <c r="O49" s="162">
        <f t="shared" si="13"/>
        <v>0</v>
      </c>
      <c r="P49" s="4"/>
    </row>
    <row r="50" spans="2:16">
      <c r="B50" s="9" t="str">
        <f t="shared" si="5"/>
        <v/>
      </c>
      <c r="C50" s="157">
        <f>IF(D11="","-",+C49+1)</f>
        <v>2047</v>
      </c>
      <c r="D50" s="163">
        <f>IF(F49+SUM(E$17:E49)=D$10,F49,D$10-SUM(E$17:E49))</f>
        <v>530489.79893247481</v>
      </c>
      <c r="E50" s="164">
        <f t="shared" si="7"/>
        <v>53491.156428571427</v>
      </c>
      <c r="F50" s="163">
        <f t="shared" si="8"/>
        <v>476998.64250390336</v>
      </c>
      <c r="G50" s="165">
        <f t="shared" si="9"/>
        <v>107897.93860691765</v>
      </c>
      <c r="H50" s="147">
        <f t="shared" si="10"/>
        <v>107897.93860691765</v>
      </c>
      <c r="I50" s="160">
        <f t="shared" si="6"/>
        <v>0</v>
      </c>
      <c r="J50" s="160"/>
      <c r="K50" s="335"/>
      <c r="L50" s="162">
        <f t="shared" si="11"/>
        <v>0</v>
      </c>
      <c r="M50" s="335"/>
      <c r="N50" s="162">
        <f t="shared" si="12"/>
        <v>0</v>
      </c>
      <c r="O50" s="162">
        <f t="shared" si="13"/>
        <v>0</v>
      </c>
      <c r="P50" s="4"/>
    </row>
    <row r="51" spans="2:16">
      <c r="B51" s="9" t="str">
        <f t="shared" si="5"/>
        <v/>
      </c>
      <c r="C51" s="157">
        <f>IF(D11="","-",+C50+1)</f>
        <v>2048</v>
      </c>
      <c r="D51" s="163">
        <f>IF(F50+SUM(E$17:E50)=D$10,F50,D$10-SUM(E$17:E50))</f>
        <v>476998.64250390336</v>
      </c>
      <c r="E51" s="164">
        <f t="shared" si="7"/>
        <v>53491.156428571427</v>
      </c>
      <c r="F51" s="163">
        <f t="shared" si="8"/>
        <v>423507.48607533192</v>
      </c>
      <c r="G51" s="165">
        <f t="shared" si="9"/>
        <v>102120.63819019438</v>
      </c>
      <c r="H51" s="147">
        <f t="shared" si="10"/>
        <v>102120.63819019438</v>
      </c>
      <c r="I51" s="160">
        <f t="shared" si="6"/>
        <v>0</v>
      </c>
      <c r="J51" s="160"/>
      <c r="K51" s="335"/>
      <c r="L51" s="162">
        <f t="shared" si="11"/>
        <v>0</v>
      </c>
      <c r="M51" s="335"/>
      <c r="N51" s="162">
        <f t="shared" si="12"/>
        <v>0</v>
      </c>
      <c r="O51" s="162">
        <f t="shared" si="13"/>
        <v>0</v>
      </c>
      <c r="P51" s="4"/>
    </row>
    <row r="52" spans="2:16">
      <c r="B52" s="9" t="str">
        <f t="shared" si="5"/>
        <v/>
      </c>
      <c r="C52" s="157">
        <f>IF(D11="","-",+C51+1)</f>
        <v>2049</v>
      </c>
      <c r="D52" s="163">
        <f>IF(F51+SUM(E$17:E51)=D$10,F51,D$10-SUM(E$17:E51))</f>
        <v>423507.48607533192</v>
      </c>
      <c r="E52" s="164">
        <f t="shared" si="7"/>
        <v>53491.156428571427</v>
      </c>
      <c r="F52" s="163">
        <f t="shared" si="8"/>
        <v>370016.32964676048</v>
      </c>
      <c r="G52" s="165">
        <f t="shared" si="9"/>
        <v>96343.33777347111</v>
      </c>
      <c r="H52" s="147">
        <f t="shared" si="10"/>
        <v>96343.33777347111</v>
      </c>
      <c r="I52" s="160">
        <f t="shared" si="6"/>
        <v>0</v>
      </c>
      <c r="J52" s="160"/>
      <c r="K52" s="335"/>
      <c r="L52" s="162">
        <f t="shared" si="11"/>
        <v>0</v>
      </c>
      <c r="M52" s="335"/>
      <c r="N52" s="162">
        <f t="shared" si="12"/>
        <v>0</v>
      </c>
      <c r="O52" s="162">
        <f t="shared" si="13"/>
        <v>0</v>
      </c>
      <c r="P52" s="4"/>
    </row>
    <row r="53" spans="2:16">
      <c r="B53" s="9" t="str">
        <f t="shared" si="5"/>
        <v/>
      </c>
      <c r="C53" s="157">
        <f>IF(D11="","-",+C52+1)</f>
        <v>2050</v>
      </c>
      <c r="D53" s="163">
        <f>IF(F52+SUM(E$17:E52)=D$10,F52,D$10-SUM(E$17:E52))</f>
        <v>370016.32964676048</v>
      </c>
      <c r="E53" s="164">
        <f t="shared" si="7"/>
        <v>53491.156428571427</v>
      </c>
      <c r="F53" s="163">
        <f t="shared" si="8"/>
        <v>316525.17321818904</v>
      </c>
      <c r="G53" s="165">
        <f t="shared" si="9"/>
        <v>90566.037356747853</v>
      </c>
      <c r="H53" s="147">
        <f t="shared" si="10"/>
        <v>90566.037356747853</v>
      </c>
      <c r="I53" s="160">
        <f t="shared" si="6"/>
        <v>0</v>
      </c>
      <c r="J53" s="160"/>
      <c r="K53" s="335"/>
      <c r="L53" s="162">
        <f t="shared" si="11"/>
        <v>0</v>
      </c>
      <c r="M53" s="335"/>
      <c r="N53" s="162">
        <f t="shared" si="12"/>
        <v>0</v>
      </c>
      <c r="O53" s="162">
        <f t="shared" si="13"/>
        <v>0</v>
      </c>
      <c r="P53" s="4"/>
    </row>
    <row r="54" spans="2:16">
      <c r="B54" s="9" t="str">
        <f t="shared" si="5"/>
        <v/>
      </c>
      <c r="C54" s="157">
        <f>IF(D11="","-",+C53+1)</f>
        <v>2051</v>
      </c>
      <c r="D54" s="163">
        <f>IF(F53+SUM(E$17:E53)=D$10,F53,D$10-SUM(E$17:E53))</f>
        <v>316525.17321818904</v>
      </c>
      <c r="E54" s="164">
        <f t="shared" si="7"/>
        <v>53491.156428571427</v>
      </c>
      <c r="F54" s="163">
        <f t="shared" si="8"/>
        <v>263034.0167896176</v>
      </c>
      <c r="G54" s="165">
        <f t="shared" si="9"/>
        <v>84788.736940024595</v>
      </c>
      <c r="H54" s="147">
        <f t="shared" si="10"/>
        <v>84788.736940024595</v>
      </c>
      <c r="I54" s="160">
        <f t="shared" si="6"/>
        <v>0</v>
      </c>
      <c r="J54" s="160"/>
      <c r="K54" s="335"/>
      <c r="L54" s="162">
        <f t="shared" si="11"/>
        <v>0</v>
      </c>
      <c r="M54" s="335"/>
      <c r="N54" s="162">
        <f t="shared" si="12"/>
        <v>0</v>
      </c>
      <c r="O54" s="162">
        <f t="shared" si="13"/>
        <v>0</v>
      </c>
      <c r="P54" s="4"/>
    </row>
    <row r="55" spans="2:16">
      <c r="B55" s="9" t="str">
        <f t="shared" si="5"/>
        <v/>
      </c>
      <c r="C55" s="157">
        <f>IF(D11="","-",+C54+1)</f>
        <v>2052</v>
      </c>
      <c r="D55" s="163">
        <f>IF(F54+SUM(E$17:E54)=D$10,F54,D$10-SUM(E$17:E54))</f>
        <v>263034.0167896176</v>
      </c>
      <c r="E55" s="164">
        <f t="shared" si="7"/>
        <v>53491.156428571427</v>
      </c>
      <c r="F55" s="163">
        <f t="shared" si="8"/>
        <v>209542.86036104616</v>
      </c>
      <c r="G55" s="165">
        <f t="shared" si="9"/>
        <v>79011.436523301323</v>
      </c>
      <c r="H55" s="147">
        <f t="shared" si="10"/>
        <v>79011.436523301323</v>
      </c>
      <c r="I55" s="160">
        <f t="shared" si="6"/>
        <v>0</v>
      </c>
      <c r="J55" s="160"/>
      <c r="K55" s="335"/>
      <c r="L55" s="162">
        <f t="shared" si="11"/>
        <v>0</v>
      </c>
      <c r="M55" s="335"/>
      <c r="N55" s="162">
        <f t="shared" si="12"/>
        <v>0</v>
      </c>
      <c r="O55" s="162">
        <f t="shared" si="13"/>
        <v>0</v>
      </c>
      <c r="P55" s="4"/>
    </row>
    <row r="56" spans="2:16">
      <c r="B56" s="9" t="str">
        <f t="shared" si="5"/>
        <v/>
      </c>
      <c r="C56" s="157">
        <f>IF(D11="","-",+C55+1)</f>
        <v>2053</v>
      </c>
      <c r="D56" s="163">
        <f>IF(F55+SUM(E$17:E55)=D$10,F55,D$10-SUM(E$17:E55))</f>
        <v>209542.86036104616</v>
      </c>
      <c r="E56" s="164">
        <f t="shared" si="7"/>
        <v>53491.156428571427</v>
      </c>
      <c r="F56" s="163">
        <f t="shared" si="8"/>
        <v>156051.70393247472</v>
      </c>
      <c r="G56" s="165">
        <f t="shared" si="9"/>
        <v>73234.136106578051</v>
      </c>
      <c r="H56" s="147">
        <f t="shared" si="10"/>
        <v>73234.136106578051</v>
      </c>
      <c r="I56" s="160">
        <f t="shared" si="6"/>
        <v>0</v>
      </c>
      <c r="J56" s="160"/>
      <c r="K56" s="335"/>
      <c r="L56" s="162">
        <f t="shared" si="11"/>
        <v>0</v>
      </c>
      <c r="M56" s="335"/>
      <c r="N56" s="162">
        <f t="shared" si="12"/>
        <v>0</v>
      </c>
      <c r="O56" s="162">
        <f t="shared" si="13"/>
        <v>0</v>
      </c>
      <c r="P56" s="4"/>
    </row>
    <row r="57" spans="2:16">
      <c r="B57" s="9" t="str">
        <f t="shared" si="5"/>
        <v/>
      </c>
      <c r="C57" s="157">
        <f>IF(D11="","-",+C56+1)</f>
        <v>2054</v>
      </c>
      <c r="D57" s="163">
        <f>IF(F56+SUM(E$17:E56)=D$10,F56,D$10-SUM(E$17:E56))</f>
        <v>156051.70393247472</v>
      </c>
      <c r="E57" s="164">
        <f t="shared" si="7"/>
        <v>53491.156428571427</v>
      </c>
      <c r="F57" s="163">
        <f t="shared" si="8"/>
        <v>102560.54750390329</v>
      </c>
      <c r="G57" s="165">
        <f t="shared" si="9"/>
        <v>67456.835689854794</v>
      </c>
      <c r="H57" s="147">
        <f t="shared" si="10"/>
        <v>67456.835689854794</v>
      </c>
      <c r="I57" s="160">
        <f t="shared" si="6"/>
        <v>0</v>
      </c>
      <c r="J57" s="160"/>
      <c r="K57" s="335"/>
      <c r="L57" s="162">
        <f t="shared" si="11"/>
        <v>0</v>
      </c>
      <c r="M57" s="335"/>
      <c r="N57" s="162">
        <f t="shared" si="12"/>
        <v>0</v>
      </c>
      <c r="O57" s="162">
        <f t="shared" si="13"/>
        <v>0</v>
      </c>
      <c r="P57" s="4"/>
    </row>
    <row r="58" spans="2:16">
      <c r="B58" s="9" t="str">
        <f t="shared" si="5"/>
        <v/>
      </c>
      <c r="C58" s="157">
        <f>IF(D11="","-",+C57+1)</f>
        <v>2055</v>
      </c>
      <c r="D58" s="163">
        <f>IF(F57+SUM(E$17:E57)=D$10,F57,D$10-SUM(E$17:E57))</f>
        <v>102560.54750390329</v>
      </c>
      <c r="E58" s="164">
        <f t="shared" si="7"/>
        <v>53491.156428571427</v>
      </c>
      <c r="F58" s="163">
        <f t="shared" si="8"/>
        <v>49069.391075331863</v>
      </c>
      <c r="G58" s="165">
        <f t="shared" si="9"/>
        <v>61679.535273131522</v>
      </c>
      <c r="H58" s="147">
        <f t="shared" si="10"/>
        <v>61679.535273131522</v>
      </c>
      <c r="I58" s="160">
        <f t="shared" si="6"/>
        <v>0</v>
      </c>
      <c r="J58" s="160"/>
      <c r="K58" s="335"/>
      <c r="L58" s="162">
        <f t="shared" si="11"/>
        <v>0</v>
      </c>
      <c r="M58" s="335"/>
      <c r="N58" s="162">
        <f t="shared" si="12"/>
        <v>0</v>
      </c>
      <c r="O58" s="162">
        <f t="shared" si="13"/>
        <v>0</v>
      </c>
      <c r="P58" s="4"/>
    </row>
    <row r="59" spans="2:16">
      <c r="B59" s="9" t="str">
        <f t="shared" si="5"/>
        <v/>
      </c>
      <c r="C59" s="157">
        <f>IF(D11="","-",+C58+1)</f>
        <v>2056</v>
      </c>
      <c r="D59" s="163">
        <f>IF(F58+SUM(E$17:E58)=D$10,F58,D$10-SUM(E$17:E58))</f>
        <v>49069.391075331863</v>
      </c>
      <c r="E59" s="164">
        <f t="shared" si="7"/>
        <v>49069.391075331863</v>
      </c>
      <c r="F59" s="163">
        <f t="shared" si="8"/>
        <v>0</v>
      </c>
      <c r="G59" s="165">
        <f t="shared" si="9"/>
        <v>51719.255393431093</v>
      </c>
      <c r="H59" s="147">
        <f t="shared" si="10"/>
        <v>51719.255393431093</v>
      </c>
      <c r="I59" s="160">
        <f t="shared" si="6"/>
        <v>0</v>
      </c>
      <c r="J59" s="160"/>
      <c r="K59" s="335"/>
      <c r="L59" s="162">
        <f t="shared" si="11"/>
        <v>0</v>
      </c>
      <c r="M59" s="335"/>
      <c r="N59" s="162">
        <f t="shared" si="12"/>
        <v>0</v>
      </c>
      <c r="O59" s="162">
        <f t="shared" si="13"/>
        <v>0</v>
      </c>
      <c r="P59" s="4"/>
    </row>
    <row r="60" spans="2:16">
      <c r="B60" s="9" t="str">
        <f t="shared" si="5"/>
        <v/>
      </c>
      <c r="C60" s="157">
        <f>IF(D11="","-",+C59+1)</f>
        <v>2057</v>
      </c>
      <c r="D60" s="163">
        <f>IF(F59+SUM(E$17:E59)=D$10,F59,D$10-SUM(E$17:E59))</f>
        <v>0</v>
      </c>
      <c r="E60" s="164">
        <f t="shared" si="7"/>
        <v>0</v>
      </c>
      <c r="F60" s="163">
        <f t="shared" si="8"/>
        <v>0</v>
      </c>
      <c r="G60" s="165">
        <f t="shared" si="9"/>
        <v>0</v>
      </c>
      <c r="H60" s="147">
        <f t="shared" si="10"/>
        <v>0</v>
      </c>
      <c r="I60" s="160">
        <f t="shared" si="6"/>
        <v>0</v>
      </c>
      <c r="J60" s="160"/>
      <c r="K60" s="335"/>
      <c r="L60" s="162">
        <f t="shared" si="11"/>
        <v>0</v>
      </c>
      <c r="M60" s="335"/>
      <c r="N60" s="162">
        <f t="shared" si="12"/>
        <v>0</v>
      </c>
      <c r="O60" s="162">
        <f t="shared" si="13"/>
        <v>0</v>
      </c>
      <c r="P60" s="4"/>
    </row>
    <row r="61" spans="2:16">
      <c r="B61" s="9" t="str">
        <f t="shared" si="5"/>
        <v/>
      </c>
      <c r="C61" s="157">
        <f>IF(D11="","-",+C60+1)</f>
        <v>2058</v>
      </c>
      <c r="D61" s="163">
        <f>IF(F60+SUM(E$17:E60)=D$10,F60,D$10-SUM(E$17:E60))</f>
        <v>0</v>
      </c>
      <c r="E61" s="164">
        <f t="shared" si="7"/>
        <v>0</v>
      </c>
      <c r="F61" s="163">
        <f t="shared" si="8"/>
        <v>0</v>
      </c>
      <c r="G61" s="165">
        <f t="shared" si="9"/>
        <v>0</v>
      </c>
      <c r="H61" s="147">
        <f t="shared" si="10"/>
        <v>0</v>
      </c>
      <c r="I61" s="160">
        <f t="shared" si="6"/>
        <v>0</v>
      </c>
      <c r="J61" s="160"/>
      <c r="K61" s="335"/>
      <c r="L61" s="162">
        <f t="shared" si="11"/>
        <v>0</v>
      </c>
      <c r="M61" s="335"/>
      <c r="N61" s="162">
        <f t="shared" si="12"/>
        <v>0</v>
      </c>
      <c r="O61" s="162">
        <f t="shared" si="13"/>
        <v>0</v>
      </c>
      <c r="P61" s="4"/>
    </row>
    <row r="62" spans="2:16">
      <c r="B62" s="9" t="str">
        <f t="shared" si="5"/>
        <v/>
      </c>
      <c r="C62" s="157">
        <f>IF(D11="","-",+C61+1)</f>
        <v>2059</v>
      </c>
      <c r="D62" s="163">
        <f>IF(F61+SUM(E$17:E61)=D$10,F61,D$10-SUM(E$17:E61))</f>
        <v>0</v>
      </c>
      <c r="E62" s="164">
        <f t="shared" si="7"/>
        <v>0</v>
      </c>
      <c r="F62" s="163">
        <f t="shared" si="8"/>
        <v>0</v>
      </c>
      <c r="G62" s="165">
        <f t="shared" si="9"/>
        <v>0</v>
      </c>
      <c r="H62" s="147">
        <f t="shared" si="10"/>
        <v>0</v>
      </c>
      <c r="I62" s="160">
        <f t="shared" si="6"/>
        <v>0</v>
      </c>
      <c r="J62" s="160"/>
      <c r="K62" s="335"/>
      <c r="L62" s="162">
        <f t="shared" si="11"/>
        <v>0</v>
      </c>
      <c r="M62" s="335"/>
      <c r="N62" s="162">
        <f t="shared" si="12"/>
        <v>0</v>
      </c>
      <c r="O62" s="162">
        <f t="shared" si="13"/>
        <v>0</v>
      </c>
      <c r="P62" s="4"/>
    </row>
    <row r="63" spans="2:16">
      <c r="B63" s="9" t="str">
        <f t="shared" si="5"/>
        <v/>
      </c>
      <c r="C63" s="157">
        <f>IF(D11="","-",+C62+1)</f>
        <v>2060</v>
      </c>
      <c r="D63" s="163">
        <f>IF(F62+SUM(E$17:E62)=D$10,F62,D$10-SUM(E$17:E62))</f>
        <v>0</v>
      </c>
      <c r="E63" s="164">
        <f t="shared" si="7"/>
        <v>0</v>
      </c>
      <c r="F63" s="163">
        <f t="shared" si="8"/>
        <v>0</v>
      </c>
      <c r="G63" s="165">
        <f t="shared" si="9"/>
        <v>0</v>
      </c>
      <c r="H63" s="147">
        <f t="shared" si="10"/>
        <v>0</v>
      </c>
      <c r="I63" s="160">
        <f t="shared" si="6"/>
        <v>0</v>
      </c>
      <c r="J63" s="160"/>
      <c r="K63" s="335"/>
      <c r="L63" s="162">
        <f t="shared" si="11"/>
        <v>0</v>
      </c>
      <c r="M63" s="335"/>
      <c r="N63" s="162">
        <f t="shared" si="12"/>
        <v>0</v>
      </c>
      <c r="O63" s="162">
        <f t="shared" si="13"/>
        <v>0</v>
      </c>
      <c r="P63" s="4"/>
    </row>
    <row r="64" spans="2:16">
      <c r="B64" s="9" t="str">
        <f t="shared" si="5"/>
        <v/>
      </c>
      <c r="C64" s="157">
        <f>IF(D11="","-",+C63+1)</f>
        <v>2061</v>
      </c>
      <c r="D64" s="163">
        <f>IF(F63+SUM(E$17:E63)=D$10,F63,D$10-SUM(E$17:E63))</f>
        <v>0</v>
      </c>
      <c r="E64" s="164">
        <f t="shared" si="7"/>
        <v>0</v>
      </c>
      <c r="F64" s="163">
        <f t="shared" si="8"/>
        <v>0</v>
      </c>
      <c r="G64" s="165">
        <f t="shared" si="9"/>
        <v>0</v>
      </c>
      <c r="H64" s="147">
        <f t="shared" si="10"/>
        <v>0</v>
      </c>
      <c r="I64" s="160">
        <f t="shared" si="6"/>
        <v>0</v>
      </c>
      <c r="J64" s="160"/>
      <c r="K64" s="335"/>
      <c r="L64" s="162">
        <f t="shared" si="11"/>
        <v>0</v>
      </c>
      <c r="M64" s="335"/>
      <c r="N64" s="162">
        <f t="shared" si="12"/>
        <v>0</v>
      </c>
      <c r="O64" s="162">
        <f t="shared" si="13"/>
        <v>0</v>
      </c>
      <c r="P64" s="4"/>
    </row>
    <row r="65" spans="2:16">
      <c r="B65" s="9" t="str">
        <f t="shared" si="5"/>
        <v/>
      </c>
      <c r="C65" s="157">
        <f>IF(D11="","-",+C64+1)</f>
        <v>2062</v>
      </c>
      <c r="D65" s="163">
        <f>IF(F64+SUM(E$17:E64)=D$10,F64,D$10-SUM(E$17:E64))</f>
        <v>0</v>
      </c>
      <c r="E65" s="164">
        <f t="shared" si="7"/>
        <v>0</v>
      </c>
      <c r="F65" s="163">
        <f t="shared" si="8"/>
        <v>0</v>
      </c>
      <c r="G65" s="165">
        <f t="shared" si="9"/>
        <v>0</v>
      </c>
      <c r="H65" s="147">
        <f t="shared" si="10"/>
        <v>0</v>
      </c>
      <c r="I65" s="160">
        <f t="shared" si="6"/>
        <v>0</v>
      </c>
      <c r="J65" s="160"/>
      <c r="K65" s="335"/>
      <c r="L65" s="162">
        <f t="shared" si="11"/>
        <v>0</v>
      </c>
      <c r="M65" s="335"/>
      <c r="N65" s="162">
        <f t="shared" si="12"/>
        <v>0</v>
      </c>
      <c r="O65" s="162">
        <f t="shared" si="13"/>
        <v>0</v>
      </c>
      <c r="P65" s="4"/>
    </row>
    <row r="66" spans="2:16">
      <c r="B66" s="9" t="str">
        <f t="shared" si="5"/>
        <v/>
      </c>
      <c r="C66" s="157">
        <f>IF(D11="","-",+C65+1)</f>
        <v>2063</v>
      </c>
      <c r="D66" s="163">
        <f>IF(F65+SUM(E$17:E65)=D$10,F65,D$10-SUM(E$17:E65))</f>
        <v>0</v>
      </c>
      <c r="E66" s="164">
        <f t="shared" si="7"/>
        <v>0</v>
      </c>
      <c r="F66" s="163">
        <f t="shared" si="8"/>
        <v>0</v>
      </c>
      <c r="G66" s="165">
        <f t="shared" si="9"/>
        <v>0</v>
      </c>
      <c r="H66" s="147">
        <f t="shared" si="10"/>
        <v>0</v>
      </c>
      <c r="I66" s="160">
        <f t="shared" si="6"/>
        <v>0</v>
      </c>
      <c r="J66" s="160"/>
      <c r="K66" s="335"/>
      <c r="L66" s="162">
        <f t="shared" si="11"/>
        <v>0</v>
      </c>
      <c r="M66" s="335"/>
      <c r="N66" s="162">
        <f t="shared" si="12"/>
        <v>0</v>
      </c>
      <c r="O66" s="162">
        <f t="shared" si="13"/>
        <v>0</v>
      </c>
      <c r="P66" s="4"/>
    </row>
    <row r="67" spans="2:16">
      <c r="B67" s="9" t="str">
        <f t="shared" si="5"/>
        <v/>
      </c>
      <c r="C67" s="157">
        <f>IF(D11="","-",+C66+1)</f>
        <v>2064</v>
      </c>
      <c r="D67" s="163">
        <f>IF(F66+SUM(E$17:E66)=D$10,F66,D$10-SUM(E$17:E66))</f>
        <v>0</v>
      </c>
      <c r="E67" s="164">
        <f t="shared" si="7"/>
        <v>0</v>
      </c>
      <c r="F67" s="163">
        <f t="shared" si="8"/>
        <v>0</v>
      </c>
      <c r="G67" s="165">
        <f t="shared" si="9"/>
        <v>0</v>
      </c>
      <c r="H67" s="147">
        <f t="shared" si="10"/>
        <v>0</v>
      </c>
      <c r="I67" s="160">
        <f t="shared" si="6"/>
        <v>0</v>
      </c>
      <c r="J67" s="160"/>
      <c r="K67" s="335"/>
      <c r="L67" s="162">
        <f t="shared" si="11"/>
        <v>0</v>
      </c>
      <c r="M67" s="335"/>
      <c r="N67" s="162">
        <f t="shared" si="12"/>
        <v>0</v>
      </c>
      <c r="O67" s="162">
        <f t="shared" si="13"/>
        <v>0</v>
      </c>
      <c r="P67" s="4"/>
    </row>
    <row r="68" spans="2:16">
      <c r="B68" s="9" t="str">
        <f t="shared" si="5"/>
        <v/>
      </c>
      <c r="C68" s="157">
        <f>IF(D11="","-",+C67+1)</f>
        <v>2065</v>
      </c>
      <c r="D68" s="163">
        <f>IF(F67+SUM(E$17:E67)=D$10,F67,D$10-SUM(E$17:E67))</f>
        <v>0</v>
      </c>
      <c r="E68" s="164">
        <f t="shared" si="7"/>
        <v>0</v>
      </c>
      <c r="F68" s="163">
        <f t="shared" si="8"/>
        <v>0</v>
      </c>
      <c r="G68" s="165">
        <f t="shared" si="9"/>
        <v>0</v>
      </c>
      <c r="H68" s="147">
        <f t="shared" si="10"/>
        <v>0</v>
      </c>
      <c r="I68" s="160">
        <f t="shared" si="6"/>
        <v>0</v>
      </c>
      <c r="J68" s="160"/>
      <c r="K68" s="335"/>
      <c r="L68" s="162">
        <f t="shared" si="11"/>
        <v>0</v>
      </c>
      <c r="M68" s="335"/>
      <c r="N68" s="162">
        <f t="shared" si="12"/>
        <v>0</v>
      </c>
      <c r="O68" s="162">
        <f t="shared" si="13"/>
        <v>0</v>
      </c>
      <c r="P68" s="4"/>
    </row>
    <row r="69" spans="2:16">
      <c r="B69" s="9" t="str">
        <f t="shared" si="5"/>
        <v/>
      </c>
      <c r="C69" s="157">
        <f>IF(D11="","-",+C68+1)</f>
        <v>2066</v>
      </c>
      <c r="D69" s="163">
        <f>IF(F68+SUM(E$17:E68)=D$10,F68,D$10-SUM(E$17:E68))</f>
        <v>0</v>
      </c>
      <c r="E69" s="164">
        <f t="shared" si="7"/>
        <v>0</v>
      </c>
      <c r="F69" s="163">
        <f t="shared" si="8"/>
        <v>0</v>
      </c>
      <c r="G69" s="165">
        <f t="shared" si="9"/>
        <v>0</v>
      </c>
      <c r="H69" s="147">
        <f t="shared" si="10"/>
        <v>0</v>
      </c>
      <c r="I69" s="160">
        <f t="shared" si="6"/>
        <v>0</v>
      </c>
      <c r="J69" s="160"/>
      <c r="K69" s="335"/>
      <c r="L69" s="162">
        <f t="shared" si="11"/>
        <v>0</v>
      </c>
      <c r="M69" s="335"/>
      <c r="N69" s="162">
        <f t="shared" si="12"/>
        <v>0</v>
      </c>
      <c r="O69" s="162">
        <f t="shared" si="13"/>
        <v>0</v>
      </c>
      <c r="P69" s="4"/>
    </row>
    <row r="70" spans="2:16">
      <c r="B70" s="9" t="str">
        <f t="shared" si="5"/>
        <v/>
      </c>
      <c r="C70" s="157">
        <f>IF(D11="","-",+C69+1)</f>
        <v>2067</v>
      </c>
      <c r="D70" s="163">
        <f>IF(F69+SUM(E$17:E69)=D$10,F69,D$10-SUM(E$17:E69))</f>
        <v>0</v>
      </c>
      <c r="E70" s="164">
        <f t="shared" si="7"/>
        <v>0</v>
      </c>
      <c r="F70" s="163">
        <f t="shared" si="8"/>
        <v>0</v>
      </c>
      <c r="G70" s="165">
        <f t="shared" si="9"/>
        <v>0</v>
      </c>
      <c r="H70" s="147">
        <f t="shared" si="10"/>
        <v>0</v>
      </c>
      <c r="I70" s="160">
        <f t="shared" si="6"/>
        <v>0</v>
      </c>
      <c r="J70" s="160"/>
      <c r="K70" s="335"/>
      <c r="L70" s="162">
        <f t="shared" si="11"/>
        <v>0</v>
      </c>
      <c r="M70" s="335"/>
      <c r="N70" s="162">
        <f t="shared" si="12"/>
        <v>0</v>
      </c>
      <c r="O70" s="162">
        <f t="shared" si="13"/>
        <v>0</v>
      </c>
      <c r="P70" s="4"/>
    </row>
    <row r="71" spans="2:16">
      <c r="B71" s="9" t="str">
        <f t="shared" si="5"/>
        <v/>
      </c>
      <c r="C71" s="157">
        <f>IF(D11="","-",+C70+1)</f>
        <v>2068</v>
      </c>
      <c r="D71" s="163">
        <f>IF(F70+SUM(E$17:E70)=D$10,F70,D$10-SUM(E$17:E70))</f>
        <v>0</v>
      </c>
      <c r="E71" s="164">
        <f t="shared" si="7"/>
        <v>0</v>
      </c>
      <c r="F71" s="163">
        <f t="shared" si="8"/>
        <v>0</v>
      </c>
      <c r="G71" s="165">
        <f t="shared" si="9"/>
        <v>0</v>
      </c>
      <c r="H71" s="147">
        <f t="shared" si="10"/>
        <v>0</v>
      </c>
      <c r="I71" s="160">
        <f t="shared" si="6"/>
        <v>0</v>
      </c>
      <c r="J71" s="160"/>
      <c r="K71" s="335"/>
      <c r="L71" s="162">
        <f t="shared" si="11"/>
        <v>0</v>
      </c>
      <c r="M71" s="335"/>
      <c r="N71" s="162">
        <f t="shared" si="12"/>
        <v>0</v>
      </c>
      <c r="O71" s="162">
        <f t="shared" si="13"/>
        <v>0</v>
      </c>
      <c r="P71" s="4"/>
    </row>
    <row r="72" spans="2:16" ht="13.5" thickBot="1">
      <c r="B72" s="9" t="str">
        <f t="shared" si="5"/>
        <v/>
      </c>
      <c r="C72" s="168">
        <f>IF(D11="","-",+C71+1)</f>
        <v>2069</v>
      </c>
      <c r="D72" s="169">
        <f>IF(F71+SUM(E$17:E71)=D$10,F71,D$10-SUM(E$17:E71))</f>
        <v>0</v>
      </c>
      <c r="E72" s="170">
        <f t="shared" si="7"/>
        <v>0</v>
      </c>
      <c r="F72" s="169">
        <f t="shared" si="8"/>
        <v>0</v>
      </c>
      <c r="G72" s="377">
        <f t="shared" si="9"/>
        <v>0</v>
      </c>
      <c r="H72" s="130">
        <f t="shared" si="10"/>
        <v>0</v>
      </c>
      <c r="I72" s="172">
        <f t="shared" si="6"/>
        <v>0</v>
      </c>
      <c r="J72" s="160"/>
      <c r="K72" s="336"/>
      <c r="L72" s="173">
        <f t="shared" si="11"/>
        <v>0</v>
      </c>
      <c r="M72" s="336"/>
      <c r="N72" s="173">
        <f t="shared" si="12"/>
        <v>0</v>
      </c>
      <c r="O72" s="173">
        <f t="shared" si="13"/>
        <v>0</v>
      </c>
      <c r="P72" s="4"/>
    </row>
    <row r="73" spans="2:16">
      <c r="C73" s="158" t="s">
        <v>72</v>
      </c>
      <c r="D73" s="115"/>
      <c r="E73" s="115">
        <f>SUM(E17:E72)</f>
        <v>2246628.5699999994</v>
      </c>
      <c r="F73" s="115"/>
      <c r="G73" s="115">
        <f>SUM(G17:G72)</f>
        <v>7883800.306697607</v>
      </c>
      <c r="H73" s="115">
        <f>SUM(H17:H72)</f>
        <v>7883800.306697607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15 of 28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2018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323935.0793333333</v>
      </c>
      <c r="N87" s="202">
        <f>IF(J92&lt;D11,0,VLOOKUP(J92,C17:O72,11))</f>
        <v>323935.0793333333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262199.22655399318</v>
      </c>
      <c r="N88" s="204">
        <f>IF(J92&lt;D11,0,VLOOKUP(J92,C99:P154,7))</f>
        <v>262199.22655399318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Locust Grove to Lone Star 115 kV Rebuild 2.1 miles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-61735.852779340115</v>
      </c>
      <c r="N89" s="207">
        <f>+N88-N87</f>
        <v>-61735.852779340115</v>
      </c>
      <c r="O89" s="208">
        <f>+O88-O87</f>
        <v>0</v>
      </c>
      <c r="P89" s="1"/>
    </row>
    <row r="90" spans="1:16" ht="13.5" thickBot="1">
      <c r="C90" s="174"/>
      <c r="D90" s="177" t="str">
        <f>D8</f>
        <v/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 t="str">
        <f>+D9</f>
        <v>TP2009093</v>
      </c>
      <c r="E91" s="210" t="str">
        <f>E9</f>
        <v xml:space="preserve">  SPP Project ID = 649</v>
      </c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138">
        <f>+D10</f>
        <v>2246628.5699999998</v>
      </c>
      <c r="E92" s="22" t="s">
        <v>89</v>
      </c>
      <c r="H92" s="139"/>
      <c r="I92" s="139"/>
      <c r="J92" s="140">
        <f>+'PSO.WS.G.BPU.ATRR.True-up'!M16</f>
        <v>2018</v>
      </c>
      <c r="K92" s="136"/>
      <c r="L92" s="115" t="s">
        <v>90</v>
      </c>
      <c r="P92" s="4"/>
    </row>
    <row r="93" spans="1:16">
      <c r="C93" s="141" t="s">
        <v>48</v>
      </c>
      <c r="D93" s="458" t="s">
        <v>263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+D12</f>
        <v>2</v>
      </c>
      <c r="E94" s="141" t="s">
        <v>51</v>
      </c>
      <c r="F94" s="139"/>
      <c r="G94" s="139"/>
      <c r="J94" s="145">
        <f>'PSO.WS.G.BPU.ATRR.True-up'!$F$81</f>
        <v>0.10273556682691798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43</v>
      </c>
      <c r="E95" s="141" t="s">
        <v>54</v>
      </c>
      <c r="F95" s="139"/>
      <c r="G95" s="139"/>
      <c r="J95" s="145">
        <f>IF(H87="",J94,'PSO.WS.G.BPU.ATRR.True-up'!$F$80)</f>
        <v>0.10273556682691798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52247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277</v>
      </c>
      <c r="I97" s="339" t="s">
        <v>278</v>
      </c>
      <c r="J97" s="214" t="s">
        <v>93</v>
      </c>
      <c r="K97" s="216"/>
      <c r="L97" s="151" t="s">
        <v>97</v>
      </c>
      <c r="M97" s="151" t="s">
        <v>94</v>
      </c>
      <c r="N97" s="151" t="s">
        <v>97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 ht="13.5" thickBot="1">
      <c r="C99" s="157" t="str">
        <f>IF(D93= "","-",D93)</f>
        <v>2014</v>
      </c>
      <c r="D99" s="435">
        <v>0</v>
      </c>
      <c r="E99" s="436">
        <v>36003.333333333336</v>
      </c>
      <c r="F99" s="437">
        <v>2210625.2366666663</v>
      </c>
      <c r="G99" s="447">
        <v>1105312.6183333332</v>
      </c>
      <c r="H99" s="448">
        <v>191405.76922123961</v>
      </c>
      <c r="I99" s="449">
        <v>191405.76922123961</v>
      </c>
      <c r="J99" s="162">
        <v>0</v>
      </c>
      <c r="K99" s="162"/>
      <c r="L99" s="338">
        <f>H99</f>
        <v>191405.76922123961</v>
      </c>
      <c r="M99" s="175">
        <f>IF(L99&lt;&gt;0,+H99-L99,0)</f>
        <v>0</v>
      </c>
      <c r="N99" s="338">
        <f>I99</f>
        <v>191405.76922123961</v>
      </c>
      <c r="O99" s="160">
        <f>IF(N99&lt;&gt;0,+I99-N99,0)</f>
        <v>0</v>
      </c>
      <c r="P99" s="162">
        <f>+O99-M99</f>
        <v>0</v>
      </c>
    </row>
    <row r="100" spans="1:16" ht="13.5" thickBot="1">
      <c r="B100" s="9" t="str">
        <f>IF(D100=F99,"","IU")</f>
        <v/>
      </c>
      <c r="C100" s="157">
        <f>IF(D93="","-",+C99+1)</f>
        <v>2015</v>
      </c>
      <c r="D100" s="435">
        <v>2210625.2366666663</v>
      </c>
      <c r="E100" s="436">
        <v>43204</v>
      </c>
      <c r="F100" s="437">
        <v>2167421.2366666663</v>
      </c>
      <c r="G100" s="447">
        <v>2189023.2366666663</v>
      </c>
      <c r="H100" s="448">
        <v>341878.62002899748</v>
      </c>
      <c r="I100" s="449">
        <v>341878.62002899748</v>
      </c>
      <c r="J100" s="162">
        <f>+I100-H100</f>
        <v>0</v>
      </c>
      <c r="K100" s="162"/>
      <c r="L100" s="338">
        <f>H100</f>
        <v>341878.62002899748</v>
      </c>
      <c r="M100" s="175">
        <f>IF(L100&lt;&gt;0,+H100-L100,0)</f>
        <v>0</v>
      </c>
      <c r="N100" s="338">
        <f>I100</f>
        <v>341878.62002899748</v>
      </c>
      <c r="O100" s="160">
        <f>IF(N100&lt;&gt;0,+I100-N100,0)</f>
        <v>0</v>
      </c>
      <c r="P100" s="162">
        <f>+O100-M100</f>
        <v>0</v>
      </c>
    </row>
    <row r="101" spans="1:16" ht="13.5" thickBot="1">
      <c r="B101" s="9" t="str">
        <f t="shared" ref="B101:B154" si="14">IF(D101=F100,"","IU")</f>
        <v/>
      </c>
      <c r="C101" s="157">
        <f>IF(D93="","-",+C100+1)</f>
        <v>2016</v>
      </c>
      <c r="D101" s="435">
        <v>2167421.2366666663</v>
      </c>
      <c r="E101" s="436">
        <v>48840</v>
      </c>
      <c r="F101" s="437">
        <v>2118581.2366666663</v>
      </c>
      <c r="G101" s="447">
        <v>2143001.2366666663</v>
      </c>
      <c r="H101" s="448">
        <v>325106.60926354182</v>
      </c>
      <c r="I101" s="449">
        <v>325106.60926354182</v>
      </c>
      <c r="J101" s="162">
        <v>0</v>
      </c>
      <c r="K101" s="162"/>
      <c r="L101" s="338">
        <f>H101</f>
        <v>325106.60926354182</v>
      </c>
      <c r="M101" s="175">
        <f>IF(L101&lt;&gt;0,+H101-L101,0)</f>
        <v>0</v>
      </c>
      <c r="N101" s="338">
        <f>I101</f>
        <v>325106.60926354182</v>
      </c>
      <c r="O101" s="160">
        <f>IF(N101&lt;&gt;0,+I101-N101,0)</f>
        <v>0</v>
      </c>
      <c r="P101" s="162">
        <f>+O101-M101</f>
        <v>0</v>
      </c>
    </row>
    <row r="102" spans="1:16">
      <c r="B102" s="9" t="str">
        <f t="shared" si="14"/>
        <v/>
      </c>
      <c r="C102" s="157">
        <f>IF(D93="","-",+C101+1)</f>
        <v>2017</v>
      </c>
      <c r="D102" s="435">
        <v>2118581.2366666663</v>
      </c>
      <c r="E102" s="436">
        <v>48840</v>
      </c>
      <c r="F102" s="437">
        <v>2069741.2366666663</v>
      </c>
      <c r="G102" s="447">
        <v>2094161.2366666663</v>
      </c>
      <c r="H102" s="448">
        <v>314489.63330060086</v>
      </c>
      <c r="I102" s="449">
        <v>314489.63330060086</v>
      </c>
      <c r="J102" s="162">
        <f t="shared" ref="J102:J154" si="15">+I102-H102</f>
        <v>0</v>
      </c>
      <c r="K102" s="162"/>
      <c r="L102" s="338">
        <f>H102</f>
        <v>314489.63330060086</v>
      </c>
      <c r="M102" s="175">
        <f>IF(L102&lt;&gt;0,+H102-L102,0)</f>
        <v>0</v>
      </c>
      <c r="N102" s="338">
        <f>I102</f>
        <v>314489.63330060086</v>
      </c>
      <c r="O102" s="160">
        <f>IF(N102&lt;&gt;0,+I102-N102,0)</f>
        <v>0</v>
      </c>
      <c r="P102" s="162">
        <f>+O102-M102</f>
        <v>0</v>
      </c>
    </row>
    <row r="103" spans="1:16">
      <c r="B103" s="9" t="str">
        <f t="shared" si="14"/>
        <v/>
      </c>
      <c r="C103" s="157">
        <f>IF(D93="","-",+C102+1)</f>
        <v>2018</v>
      </c>
      <c r="D103" s="158">
        <f>IF(F102+SUM(E$99:E102)=D$92,F102,D$92-SUM(E$99:E102))</f>
        <v>2069741.2366666663</v>
      </c>
      <c r="E103" s="164">
        <f t="shared" ref="E103:E154" si="16">IF(+J$96&lt;F102,J$96,D103)</f>
        <v>52247</v>
      </c>
      <c r="F103" s="163">
        <f t="shared" ref="F103:F154" si="17">+D103-E103</f>
        <v>2017494.2366666663</v>
      </c>
      <c r="G103" s="163">
        <f t="shared" ref="G103:G154" si="18">+(F103+D103)/2</f>
        <v>2043617.7366666663</v>
      </c>
      <c r="H103" s="167">
        <f t="shared" ref="H103:H154" si="19">+J$94*G103+E103</f>
        <v>262199.22655399318</v>
      </c>
      <c r="I103" s="317">
        <f t="shared" ref="I103:I154" si="20">+J$95*G103+E103</f>
        <v>262199.22655399318</v>
      </c>
      <c r="J103" s="162">
        <f t="shared" si="15"/>
        <v>0</v>
      </c>
      <c r="K103" s="162"/>
      <c r="L103" s="335"/>
      <c r="M103" s="162">
        <f t="shared" ref="M103:M130" si="21">IF(L103&lt;&gt;0,+H103-L103,0)</f>
        <v>0</v>
      </c>
      <c r="N103" s="335"/>
      <c r="O103" s="162">
        <f t="shared" ref="O103:O130" si="22">IF(N103&lt;&gt;0,+I103-N103,0)</f>
        <v>0</v>
      </c>
      <c r="P103" s="162">
        <f t="shared" ref="P103:P130" si="23">+O103-M103</f>
        <v>0</v>
      </c>
    </row>
    <row r="104" spans="1:16">
      <c r="B104" s="9" t="str">
        <f t="shared" si="14"/>
        <v/>
      </c>
      <c r="C104" s="157">
        <f>IF(D93="","-",+C103+1)</f>
        <v>2019</v>
      </c>
      <c r="D104" s="158">
        <f>IF(F103+SUM(E$99:E103)=D$92,F103,D$92-SUM(E$99:E103))</f>
        <v>2017494.2366666663</v>
      </c>
      <c r="E104" s="164">
        <f t="shared" si="16"/>
        <v>52247</v>
      </c>
      <c r="F104" s="163">
        <f t="shared" si="17"/>
        <v>1965247.2366666663</v>
      </c>
      <c r="G104" s="163">
        <f t="shared" si="18"/>
        <v>1991370.7366666663</v>
      </c>
      <c r="H104" s="167">
        <f t="shared" si="19"/>
        <v>256831.60139398719</v>
      </c>
      <c r="I104" s="317">
        <f t="shared" si="20"/>
        <v>256831.60139398719</v>
      </c>
      <c r="J104" s="162">
        <f t="shared" si="15"/>
        <v>0</v>
      </c>
      <c r="K104" s="162"/>
      <c r="L104" s="335"/>
      <c r="M104" s="162">
        <f t="shared" si="21"/>
        <v>0</v>
      </c>
      <c r="N104" s="335"/>
      <c r="O104" s="162">
        <f t="shared" si="22"/>
        <v>0</v>
      </c>
      <c r="P104" s="162">
        <f t="shared" si="23"/>
        <v>0</v>
      </c>
    </row>
    <row r="105" spans="1:16">
      <c r="B105" s="9" t="str">
        <f t="shared" si="14"/>
        <v/>
      </c>
      <c r="C105" s="157">
        <f>IF(D93="","-",+C104+1)</f>
        <v>2020</v>
      </c>
      <c r="D105" s="158">
        <f>IF(F104+SUM(E$99:E104)=D$92,F104,D$92-SUM(E$99:E104))</f>
        <v>1965247.2366666663</v>
      </c>
      <c r="E105" s="164">
        <f t="shared" si="16"/>
        <v>52247</v>
      </c>
      <c r="F105" s="163">
        <f t="shared" si="17"/>
        <v>1913000.2366666663</v>
      </c>
      <c r="G105" s="163">
        <f t="shared" si="18"/>
        <v>1939123.7366666663</v>
      </c>
      <c r="H105" s="167">
        <f t="shared" si="19"/>
        <v>251463.9762339812</v>
      </c>
      <c r="I105" s="317">
        <f t="shared" si="20"/>
        <v>251463.9762339812</v>
      </c>
      <c r="J105" s="162">
        <f t="shared" si="15"/>
        <v>0</v>
      </c>
      <c r="K105" s="162"/>
      <c r="L105" s="335"/>
      <c r="M105" s="162">
        <f t="shared" si="21"/>
        <v>0</v>
      </c>
      <c r="N105" s="335"/>
      <c r="O105" s="162">
        <f t="shared" si="22"/>
        <v>0</v>
      </c>
      <c r="P105" s="162">
        <f t="shared" si="23"/>
        <v>0</v>
      </c>
    </row>
    <row r="106" spans="1:16">
      <c r="B106" s="9" t="str">
        <f t="shared" si="14"/>
        <v/>
      </c>
      <c r="C106" s="157">
        <f>IF(D93="","-",+C105+1)</f>
        <v>2021</v>
      </c>
      <c r="D106" s="158">
        <f>IF(F105+SUM(E$99:E105)=D$92,F105,D$92-SUM(E$99:E105))</f>
        <v>1913000.2366666663</v>
      </c>
      <c r="E106" s="164">
        <f t="shared" si="16"/>
        <v>52247</v>
      </c>
      <c r="F106" s="163">
        <f t="shared" si="17"/>
        <v>1860753.2366666663</v>
      </c>
      <c r="G106" s="163">
        <f t="shared" si="18"/>
        <v>1886876.7366666663</v>
      </c>
      <c r="H106" s="167">
        <f t="shared" si="19"/>
        <v>246096.35107397521</v>
      </c>
      <c r="I106" s="317">
        <f t="shared" si="20"/>
        <v>246096.35107397521</v>
      </c>
      <c r="J106" s="162">
        <f t="shared" si="15"/>
        <v>0</v>
      </c>
      <c r="K106" s="162"/>
      <c r="L106" s="335"/>
      <c r="M106" s="162">
        <f t="shared" si="21"/>
        <v>0</v>
      </c>
      <c r="N106" s="335"/>
      <c r="O106" s="162">
        <f t="shared" si="22"/>
        <v>0</v>
      </c>
      <c r="P106" s="162">
        <f t="shared" si="23"/>
        <v>0</v>
      </c>
    </row>
    <row r="107" spans="1:16">
      <c r="B107" s="9" t="str">
        <f t="shared" si="14"/>
        <v/>
      </c>
      <c r="C107" s="157">
        <f>IF(D93="","-",+C106+1)</f>
        <v>2022</v>
      </c>
      <c r="D107" s="158">
        <f>IF(F106+SUM(E$99:E106)=D$92,F106,D$92-SUM(E$99:E106))</f>
        <v>1860753.2366666663</v>
      </c>
      <c r="E107" s="164">
        <f t="shared" si="16"/>
        <v>52247</v>
      </c>
      <c r="F107" s="163">
        <f t="shared" si="17"/>
        <v>1808506.2366666663</v>
      </c>
      <c r="G107" s="163">
        <f t="shared" si="18"/>
        <v>1834629.7366666663</v>
      </c>
      <c r="H107" s="167">
        <f t="shared" si="19"/>
        <v>240728.72591396925</v>
      </c>
      <c r="I107" s="317">
        <f t="shared" si="20"/>
        <v>240728.72591396925</v>
      </c>
      <c r="J107" s="162">
        <f t="shared" si="15"/>
        <v>0</v>
      </c>
      <c r="K107" s="162"/>
      <c r="L107" s="335"/>
      <c r="M107" s="162">
        <f t="shared" si="21"/>
        <v>0</v>
      </c>
      <c r="N107" s="335"/>
      <c r="O107" s="162">
        <f t="shared" si="22"/>
        <v>0</v>
      </c>
      <c r="P107" s="162">
        <f t="shared" si="23"/>
        <v>0</v>
      </c>
    </row>
    <row r="108" spans="1:16">
      <c r="B108" s="9" t="str">
        <f t="shared" si="14"/>
        <v/>
      </c>
      <c r="C108" s="157">
        <f>IF(D93="","-",+C107+1)</f>
        <v>2023</v>
      </c>
      <c r="D108" s="158">
        <f>IF(F107+SUM(E$99:E107)=D$92,F107,D$92-SUM(E$99:E107))</f>
        <v>1808506.2366666663</v>
      </c>
      <c r="E108" s="164">
        <f t="shared" si="16"/>
        <v>52247</v>
      </c>
      <c r="F108" s="163">
        <f t="shared" si="17"/>
        <v>1756259.2366666663</v>
      </c>
      <c r="G108" s="163">
        <f t="shared" si="18"/>
        <v>1782382.7366666663</v>
      </c>
      <c r="H108" s="167">
        <f t="shared" si="19"/>
        <v>235361.10075396326</v>
      </c>
      <c r="I108" s="317">
        <f t="shared" si="20"/>
        <v>235361.10075396326</v>
      </c>
      <c r="J108" s="162">
        <f t="shared" si="15"/>
        <v>0</v>
      </c>
      <c r="K108" s="162"/>
      <c r="L108" s="335"/>
      <c r="M108" s="162">
        <f t="shared" si="21"/>
        <v>0</v>
      </c>
      <c r="N108" s="335"/>
      <c r="O108" s="162">
        <f t="shared" si="22"/>
        <v>0</v>
      </c>
      <c r="P108" s="162">
        <f t="shared" si="23"/>
        <v>0</v>
      </c>
    </row>
    <row r="109" spans="1:16">
      <c r="B109" s="9" t="str">
        <f t="shared" si="14"/>
        <v/>
      </c>
      <c r="C109" s="157">
        <f>IF(D93="","-",+C108+1)</f>
        <v>2024</v>
      </c>
      <c r="D109" s="158">
        <f>IF(F108+SUM(E$99:E108)=D$92,F108,D$92-SUM(E$99:E108))</f>
        <v>1756259.2366666663</v>
      </c>
      <c r="E109" s="164">
        <f t="shared" si="16"/>
        <v>52247</v>
      </c>
      <c r="F109" s="163">
        <f t="shared" si="17"/>
        <v>1704012.2366666663</v>
      </c>
      <c r="G109" s="163">
        <f t="shared" si="18"/>
        <v>1730135.7366666663</v>
      </c>
      <c r="H109" s="167">
        <f t="shared" si="19"/>
        <v>229993.47559395726</v>
      </c>
      <c r="I109" s="317">
        <f t="shared" si="20"/>
        <v>229993.47559395726</v>
      </c>
      <c r="J109" s="162">
        <f t="shared" si="15"/>
        <v>0</v>
      </c>
      <c r="K109" s="162"/>
      <c r="L109" s="335"/>
      <c r="M109" s="162">
        <f t="shared" si="21"/>
        <v>0</v>
      </c>
      <c r="N109" s="335"/>
      <c r="O109" s="162">
        <f t="shared" si="22"/>
        <v>0</v>
      </c>
      <c r="P109" s="162">
        <f t="shared" si="23"/>
        <v>0</v>
      </c>
    </row>
    <row r="110" spans="1:16">
      <c r="B110" s="9" t="str">
        <f t="shared" si="14"/>
        <v/>
      </c>
      <c r="C110" s="157">
        <f>IF(D93="","-",+C109+1)</f>
        <v>2025</v>
      </c>
      <c r="D110" s="158">
        <f>IF(F109+SUM(E$99:E109)=D$92,F109,D$92-SUM(E$99:E109))</f>
        <v>1704012.2366666663</v>
      </c>
      <c r="E110" s="164">
        <f t="shared" si="16"/>
        <v>52247</v>
      </c>
      <c r="F110" s="163">
        <f t="shared" si="17"/>
        <v>1651765.2366666663</v>
      </c>
      <c r="G110" s="163">
        <f t="shared" si="18"/>
        <v>1677888.7366666663</v>
      </c>
      <c r="H110" s="167">
        <f t="shared" si="19"/>
        <v>224625.85043395127</v>
      </c>
      <c r="I110" s="317">
        <f t="shared" si="20"/>
        <v>224625.85043395127</v>
      </c>
      <c r="J110" s="162">
        <f t="shared" si="15"/>
        <v>0</v>
      </c>
      <c r="K110" s="162"/>
      <c r="L110" s="335"/>
      <c r="M110" s="162">
        <f t="shared" si="21"/>
        <v>0</v>
      </c>
      <c r="N110" s="335"/>
      <c r="O110" s="162">
        <f t="shared" si="22"/>
        <v>0</v>
      </c>
      <c r="P110" s="162">
        <f t="shared" si="23"/>
        <v>0</v>
      </c>
    </row>
    <row r="111" spans="1:16">
      <c r="B111" s="9" t="str">
        <f t="shared" si="14"/>
        <v/>
      </c>
      <c r="C111" s="157">
        <f>IF(D93="","-",+C110+1)</f>
        <v>2026</v>
      </c>
      <c r="D111" s="158">
        <f>IF(F110+SUM(E$99:E110)=D$92,F110,D$92-SUM(E$99:E110))</f>
        <v>1651765.2366666663</v>
      </c>
      <c r="E111" s="164">
        <f t="shared" si="16"/>
        <v>52247</v>
      </c>
      <c r="F111" s="163">
        <f t="shared" si="17"/>
        <v>1599518.2366666663</v>
      </c>
      <c r="G111" s="163">
        <f t="shared" si="18"/>
        <v>1625641.7366666663</v>
      </c>
      <c r="H111" s="167">
        <f t="shared" si="19"/>
        <v>219258.22527394531</v>
      </c>
      <c r="I111" s="317">
        <f t="shared" si="20"/>
        <v>219258.22527394531</v>
      </c>
      <c r="J111" s="162">
        <f t="shared" si="15"/>
        <v>0</v>
      </c>
      <c r="K111" s="162"/>
      <c r="L111" s="335"/>
      <c r="M111" s="162">
        <f t="shared" si="21"/>
        <v>0</v>
      </c>
      <c r="N111" s="335"/>
      <c r="O111" s="162">
        <f t="shared" si="22"/>
        <v>0</v>
      </c>
      <c r="P111" s="162">
        <f t="shared" si="23"/>
        <v>0</v>
      </c>
    </row>
    <row r="112" spans="1:16">
      <c r="B112" s="9" t="str">
        <f t="shared" si="14"/>
        <v/>
      </c>
      <c r="C112" s="157">
        <f>IF(D93="","-",+C111+1)</f>
        <v>2027</v>
      </c>
      <c r="D112" s="158">
        <f>IF(F111+SUM(E$99:E111)=D$92,F111,D$92-SUM(E$99:E111))</f>
        <v>1599518.2366666663</v>
      </c>
      <c r="E112" s="164">
        <f t="shared" si="16"/>
        <v>52247</v>
      </c>
      <c r="F112" s="163">
        <f t="shared" si="17"/>
        <v>1547271.2366666663</v>
      </c>
      <c r="G112" s="163">
        <f t="shared" si="18"/>
        <v>1573394.7366666663</v>
      </c>
      <c r="H112" s="167">
        <f t="shared" si="19"/>
        <v>213890.60011393932</v>
      </c>
      <c r="I112" s="317">
        <f t="shared" si="20"/>
        <v>213890.60011393932</v>
      </c>
      <c r="J112" s="162">
        <f t="shared" si="15"/>
        <v>0</v>
      </c>
      <c r="K112" s="162"/>
      <c r="L112" s="335"/>
      <c r="M112" s="162">
        <f t="shared" si="21"/>
        <v>0</v>
      </c>
      <c r="N112" s="335"/>
      <c r="O112" s="162">
        <f t="shared" si="22"/>
        <v>0</v>
      </c>
      <c r="P112" s="162">
        <f t="shared" si="23"/>
        <v>0</v>
      </c>
    </row>
    <row r="113" spans="2:16">
      <c r="B113" s="9" t="str">
        <f t="shared" si="14"/>
        <v/>
      </c>
      <c r="C113" s="157">
        <f>IF(D93="","-",+C112+1)</f>
        <v>2028</v>
      </c>
      <c r="D113" s="158">
        <f>IF(F112+SUM(E$99:E112)=D$92,F112,D$92-SUM(E$99:E112))</f>
        <v>1547271.2366666663</v>
      </c>
      <c r="E113" s="164">
        <f t="shared" si="16"/>
        <v>52247</v>
      </c>
      <c r="F113" s="163">
        <f t="shared" si="17"/>
        <v>1495024.2366666663</v>
      </c>
      <c r="G113" s="163">
        <f t="shared" si="18"/>
        <v>1521147.7366666663</v>
      </c>
      <c r="H113" s="167">
        <f t="shared" si="19"/>
        <v>208522.97495393333</v>
      </c>
      <c r="I113" s="317">
        <f t="shared" si="20"/>
        <v>208522.97495393333</v>
      </c>
      <c r="J113" s="162">
        <f t="shared" si="15"/>
        <v>0</v>
      </c>
      <c r="K113" s="162"/>
      <c r="L113" s="335"/>
      <c r="M113" s="162">
        <f t="shared" si="21"/>
        <v>0</v>
      </c>
      <c r="N113" s="335"/>
      <c r="O113" s="162">
        <f t="shared" si="22"/>
        <v>0</v>
      </c>
      <c r="P113" s="162">
        <f t="shared" si="23"/>
        <v>0</v>
      </c>
    </row>
    <row r="114" spans="2:16">
      <c r="B114" s="9" t="str">
        <f t="shared" si="14"/>
        <v/>
      </c>
      <c r="C114" s="157">
        <f>IF(D93="","-",+C113+1)</f>
        <v>2029</v>
      </c>
      <c r="D114" s="158">
        <f>IF(F113+SUM(E$99:E113)=D$92,F113,D$92-SUM(E$99:E113))</f>
        <v>1495024.2366666663</v>
      </c>
      <c r="E114" s="164">
        <f t="shared" si="16"/>
        <v>52247</v>
      </c>
      <c r="F114" s="163">
        <f t="shared" si="17"/>
        <v>1442777.2366666663</v>
      </c>
      <c r="G114" s="163">
        <f t="shared" si="18"/>
        <v>1468900.7366666663</v>
      </c>
      <c r="H114" s="167">
        <f t="shared" si="19"/>
        <v>203155.34979392734</v>
      </c>
      <c r="I114" s="317">
        <f t="shared" si="20"/>
        <v>203155.34979392734</v>
      </c>
      <c r="J114" s="162">
        <f t="shared" si="15"/>
        <v>0</v>
      </c>
      <c r="K114" s="162"/>
      <c r="L114" s="335"/>
      <c r="M114" s="162">
        <f t="shared" si="21"/>
        <v>0</v>
      </c>
      <c r="N114" s="335"/>
      <c r="O114" s="162">
        <f t="shared" si="22"/>
        <v>0</v>
      </c>
      <c r="P114" s="162">
        <f t="shared" si="23"/>
        <v>0</v>
      </c>
    </row>
    <row r="115" spans="2:16">
      <c r="B115" s="9" t="str">
        <f t="shared" si="14"/>
        <v/>
      </c>
      <c r="C115" s="157">
        <f>IF(D93="","-",+C114+1)</f>
        <v>2030</v>
      </c>
      <c r="D115" s="158">
        <f>IF(F114+SUM(E$99:E114)=D$92,F114,D$92-SUM(E$99:E114))</f>
        <v>1442777.2366666663</v>
      </c>
      <c r="E115" s="164">
        <f t="shared" si="16"/>
        <v>52247</v>
      </c>
      <c r="F115" s="163">
        <f t="shared" si="17"/>
        <v>1390530.2366666663</v>
      </c>
      <c r="G115" s="163">
        <f t="shared" si="18"/>
        <v>1416653.7366666663</v>
      </c>
      <c r="H115" s="167">
        <f t="shared" si="19"/>
        <v>197787.72463392137</v>
      </c>
      <c r="I115" s="317">
        <f t="shared" si="20"/>
        <v>197787.72463392137</v>
      </c>
      <c r="J115" s="162">
        <f t="shared" si="15"/>
        <v>0</v>
      </c>
      <c r="K115" s="162"/>
      <c r="L115" s="335"/>
      <c r="M115" s="162">
        <f t="shared" si="21"/>
        <v>0</v>
      </c>
      <c r="N115" s="335"/>
      <c r="O115" s="162">
        <f t="shared" si="22"/>
        <v>0</v>
      </c>
      <c r="P115" s="162">
        <f t="shared" si="23"/>
        <v>0</v>
      </c>
    </row>
    <row r="116" spans="2:16">
      <c r="B116" s="9" t="str">
        <f t="shared" si="14"/>
        <v/>
      </c>
      <c r="C116" s="157">
        <f>IF(D93="","-",+C115+1)</f>
        <v>2031</v>
      </c>
      <c r="D116" s="158">
        <f>IF(F115+SUM(E$99:E115)=D$92,F115,D$92-SUM(E$99:E115))</f>
        <v>1390530.2366666663</v>
      </c>
      <c r="E116" s="164">
        <f t="shared" si="16"/>
        <v>52247</v>
      </c>
      <c r="F116" s="163">
        <f t="shared" si="17"/>
        <v>1338283.2366666663</v>
      </c>
      <c r="G116" s="163">
        <f t="shared" si="18"/>
        <v>1364406.7366666663</v>
      </c>
      <c r="H116" s="167">
        <f t="shared" si="19"/>
        <v>192420.09947391538</v>
      </c>
      <c r="I116" s="317">
        <f t="shared" si="20"/>
        <v>192420.09947391538</v>
      </c>
      <c r="J116" s="162">
        <f t="shared" si="15"/>
        <v>0</v>
      </c>
      <c r="K116" s="162"/>
      <c r="L116" s="335"/>
      <c r="M116" s="162">
        <f t="shared" si="21"/>
        <v>0</v>
      </c>
      <c r="N116" s="335"/>
      <c r="O116" s="162">
        <f t="shared" si="22"/>
        <v>0</v>
      </c>
      <c r="P116" s="162">
        <f t="shared" si="23"/>
        <v>0</v>
      </c>
    </row>
    <row r="117" spans="2:16">
      <c r="B117" s="9" t="str">
        <f t="shared" si="14"/>
        <v/>
      </c>
      <c r="C117" s="157">
        <f>IF(D93="","-",+C116+1)</f>
        <v>2032</v>
      </c>
      <c r="D117" s="158">
        <f>IF(F116+SUM(E$99:E116)=D$92,F116,D$92-SUM(E$99:E116))</f>
        <v>1338283.2366666663</v>
      </c>
      <c r="E117" s="164">
        <f t="shared" si="16"/>
        <v>52247</v>
      </c>
      <c r="F117" s="163">
        <f t="shared" si="17"/>
        <v>1286036.2366666663</v>
      </c>
      <c r="G117" s="163">
        <f t="shared" si="18"/>
        <v>1312159.7366666663</v>
      </c>
      <c r="H117" s="167">
        <f t="shared" si="19"/>
        <v>187052.47431390939</v>
      </c>
      <c r="I117" s="317">
        <f t="shared" si="20"/>
        <v>187052.47431390939</v>
      </c>
      <c r="J117" s="162">
        <f t="shared" si="15"/>
        <v>0</v>
      </c>
      <c r="K117" s="162"/>
      <c r="L117" s="335"/>
      <c r="M117" s="162">
        <f t="shared" si="21"/>
        <v>0</v>
      </c>
      <c r="N117" s="335"/>
      <c r="O117" s="162">
        <f t="shared" si="22"/>
        <v>0</v>
      </c>
      <c r="P117" s="162">
        <f t="shared" si="23"/>
        <v>0</v>
      </c>
    </row>
    <row r="118" spans="2:16">
      <c r="B118" s="9" t="str">
        <f t="shared" si="14"/>
        <v/>
      </c>
      <c r="C118" s="157">
        <f>IF(D93="","-",+C117+1)</f>
        <v>2033</v>
      </c>
      <c r="D118" s="158">
        <f>IF(F117+SUM(E$99:E117)=D$92,F117,D$92-SUM(E$99:E117))</f>
        <v>1286036.2366666663</v>
      </c>
      <c r="E118" s="164">
        <f t="shared" si="16"/>
        <v>52247</v>
      </c>
      <c r="F118" s="163">
        <f t="shared" si="17"/>
        <v>1233789.2366666663</v>
      </c>
      <c r="G118" s="163">
        <f t="shared" si="18"/>
        <v>1259912.7366666663</v>
      </c>
      <c r="H118" s="167">
        <f t="shared" si="19"/>
        <v>181684.84915390343</v>
      </c>
      <c r="I118" s="317">
        <f t="shared" si="20"/>
        <v>181684.84915390343</v>
      </c>
      <c r="J118" s="162">
        <f t="shared" si="15"/>
        <v>0</v>
      </c>
      <c r="K118" s="162"/>
      <c r="L118" s="335"/>
      <c r="M118" s="162">
        <f t="shared" si="21"/>
        <v>0</v>
      </c>
      <c r="N118" s="335"/>
      <c r="O118" s="162">
        <f t="shared" si="22"/>
        <v>0</v>
      </c>
      <c r="P118" s="162">
        <f t="shared" si="23"/>
        <v>0</v>
      </c>
    </row>
    <row r="119" spans="2:16">
      <c r="B119" s="9" t="str">
        <f t="shared" si="14"/>
        <v/>
      </c>
      <c r="C119" s="157">
        <f>IF(D93="","-",+C118+1)</f>
        <v>2034</v>
      </c>
      <c r="D119" s="158">
        <f>IF(F118+SUM(E$99:E118)=D$92,F118,D$92-SUM(E$99:E118))</f>
        <v>1233789.2366666663</v>
      </c>
      <c r="E119" s="164">
        <f t="shared" si="16"/>
        <v>52247</v>
      </c>
      <c r="F119" s="163">
        <f t="shared" si="17"/>
        <v>1181542.2366666663</v>
      </c>
      <c r="G119" s="163">
        <f t="shared" si="18"/>
        <v>1207665.7366666663</v>
      </c>
      <c r="H119" s="167">
        <f t="shared" si="19"/>
        <v>176317.22399389744</v>
      </c>
      <c r="I119" s="317">
        <f t="shared" si="20"/>
        <v>176317.22399389744</v>
      </c>
      <c r="J119" s="162">
        <f t="shared" si="15"/>
        <v>0</v>
      </c>
      <c r="K119" s="162"/>
      <c r="L119" s="335"/>
      <c r="M119" s="162">
        <f t="shared" si="21"/>
        <v>0</v>
      </c>
      <c r="N119" s="335"/>
      <c r="O119" s="162">
        <f t="shared" si="22"/>
        <v>0</v>
      </c>
      <c r="P119" s="162">
        <f t="shared" si="23"/>
        <v>0</v>
      </c>
    </row>
    <row r="120" spans="2:16">
      <c r="B120" s="9" t="str">
        <f t="shared" si="14"/>
        <v/>
      </c>
      <c r="C120" s="157">
        <f>IF(D93="","-",+C119+1)</f>
        <v>2035</v>
      </c>
      <c r="D120" s="158">
        <f>IF(F119+SUM(E$99:E119)=D$92,F119,D$92-SUM(E$99:E119))</f>
        <v>1181542.2366666663</v>
      </c>
      <c r="E120" s="164">
        <f t="shared" si="16"/>
        <v>52247</v>
      </c>
      <c r="F120" s="163">
        <f t="shared" si="17"/>
        <v>1129295.2366666663</v>
      </c>
      <c r="G120" s="163">
        <f t="shared" si="18"/>
        <v>1155418.7366666663</v>
      </c>
      <c r="H120" s="167">
        <f t="shared" si="19"/>
        <v>170949.59883389145</v>
      </c>
      <c r="I120" s="317">
        <f t="shared" si="20"/>
        <v>170949.59883389145</v>
      </c>
      <c r="J120" s="162">
        <f t="shared" si="15"/>
        <v>0</v>
      </c>
      <c r="K120" s="162"/>
      <c r="L120" s="335"/>
      <c r="M120" s="162">
        <f t="shared" si="21"/>
        <v>0</v>
      </c>
      <c r="N120" s="335"/>
      <c r="O120" s="162">
        <f t="shared" si="22"/>
        <v>0</v>
      </c>
      <c r="P120" s="162">
        <f t="shared" si="23"/>
        <v>0</v>
      </c>
    </row>
    <row r="121" spans="2:16">
      <c r="B121" s="9" t="str">
        <f t="shared" si="14"/>
        <v/>
      </c>
      <c r="C121" s="157">
        <f>IF(D93="","-",+C120+1)</f>
        <v>2036</v>
      </c>
      <c r="D121" s="158">
        <f>IF(F120+SUM(E$99:E120)=D$92,F120,D$92-SUM(E$99:E120))</f>
        <v>1129295.2366666663</v>
      </c>
      <c r="E121" s="164">
        <f t="shared" si="16"/>
        <v>52247</v>
      </c>
      <c r="F121" s="163">
        <f t="shared" si="17"/>
        <v>1077048.2366666663</v>
      </c>
      <c r="G121" s="163">
        <f t="shared" si="18"/>
        <v>1103171.7366666663</v>
      </c>
      <c r="H121" s="167">
        <f t="shared" si="19"/>
        <v>165581.97367388546</v>
      </c>
      <c r="I121" s="317">
        <f t="shared" si="20"/>
        <v>165581.97367388546</v>
      </c>
      <c r="J121" s="162">
        <f t="shared" si="15"/>
        <v>0</v>
      </c>
      <c r="K121" s="162"/>
      <c r="L121" s="335"/>
      <c r="M121" s="162">
        <f t="shared" si="21"/>
        <v>0</v>
      </c>
      <c r="N121" s="335"/>
      <c r="O121" s="162">
        <f t="shared" si="22"/>
        <v>0</v>
      </c>
      <c r="P121" s="162">
        <f t="shared" si="23"/>
        <v>0</v>
      </c>
    </row>
    <row r="122" spans="2:16">
      <c r="B122" s="9" t="str">
        <f t="shared" si="14"/>
        <v/>
      </c>
      <c r="C122" s="157">
        <f>IF(D93="","-",+C121+1)</f>
        <v>2037</v>
      </c>
      <c r="D122" s="158">
        <f>IF(F121+SUM(E$99:E121)=D$92,F121,D$92-SUM(E$99:E121))</f>
        <v>1077048.2366666663</v>
      </c>
      <c r="E122" s="164">
        <f t="shared" si="16"/>
        <v>52247</v>
      </c>
      <c r="F122" s="163">
        <f t="shared" si="17"/>
        <v>1024801.2366666663</v>
      </c>
      <c r="G122" s="163">
        <f t="shared" si="18"/>
        <v>1050924.7366666663</v>
      </c>
      <c r="H122" s="167">
        <f t="shared" si="19"/>
        <v>160214.34851387946</v>
      </c>
      <c r="I122" s="317">
        <f t="shared" si="20"/>
        <v>160214.34851387946</v>
      </c>
      <c r="J122" s="162">
        <f t="shared" si="15"/>
        <v>0</v>
      </c>
      <c r="K122" s="162"/>
      <c r="L122" s="335"/>
      <c r="M122" s="162">
        <f t="shared" si="21"/>
        <v>0</v>
      </c>
      <c r="N122" s="335"/>
      <c r="O122" s="162">
        <f t="shared" si="22"/>
        <v>0</v>
      </c>
      <c r="P122" s="162">
        <f t="shared" si="23"/>
        <v>0</v>
      </c>
    </row>
    <row r="123" spans="2:16">
      <c r="B123" s="9" t="str">
        <f t="shared" si="14"/>
        <v/>
      </c>
      <c r="C123" s="157">
        <f>IF(D93="","-",+C122+1)</f>
        <v>2038</v>
      </c>
      <c r="D123" s="158">
        <f>IF(F122+SUM(E$99:E122)=D$92,F122,D$92-SUM(E$99:E122))</f>
        <v>1024801.2366666663</v>
      </c>
      <c r="E123" s="164">
        <f t="shared" si="16"/>
        <v>52247</v>
      </c>
      <c r="F123" s="163">
        <f t="shared" si="17"/>
        <v>972554.23666666634</v>
      </c>
      <c r="G123" s="163">
        <f t="shared" si="18"/>
        <v>998677.73666666634</v>
      </c>
      <c r="H123" s="167">
        <f t="shared" si="19"/>
        <v>154846.7233538735</v>
      </c>
      <c r="I123" s="317">
        <f t="shared" si="20"/>
        <v>154846.7233538735</v>
      </c>
      <c r="J123" s="162">
        <f t="shared" si="15"/>
        <v>0</v>
      </c>
      <c r="K123" s="162"/>
      <c r="L123" s="335"/>
      <c r="M123" s="162">
        <f t="shared" si="21"/>
        <v>0</v>
      </c>
      <c r="N123" s="335"/>
      <c r="O123" s="162">
        <f t="shared" si="22"/>
        <v>0</v>
      </c>
      <c r="P123" s="162">
        <f t="shared" si="23"/>
        <v>0</v>
      </c>
    </row>
    <row r="124" spans="2:16">
      <c r="B124" s="9" t="str">
        <f t="shared" si="14"/>
        <v/>
      </c>
      <c r="C124" s="157">
        <f>IF(D93="","-",+C123+1)</f>
        <v>2039</v>
      </c>
      <c r="D124" s="158">
        <f>IF(F123+SUM(E$99:E123)=D$92,F123,D$92-SUM(E$99:E123))</f>
        <v>972554.23666666634</v>
      </c>
      <c r="E124" s="164">
        <f t="shared" si="16"/>
        <v>52247</v>
      </c>
      <c r="F124" s="163">
        <f t="shared" si="17"/>
        <v>920307.23666666634</v>
      </c>
      <c r="G124" s="163">
        <f t="shared" si="18"/>
        <v>946430.73666666634</v>
      </c>
      <c r="H124" s="167">
        <f t="shared" si="19"/>
        <v>149479.09819386751</v>
      </c>
      <c r="I124" s="317">
        <f t="shared" si="20"/>
        <v>149479.09819386751</v>
      </c>
      <c r="J124" s="162">
        <f t="shared" si="15"/>
        <v>0</v>
      </c>
      <c r="K124" s="162"/>
      <c r="L124" s="335"/>
      <c r="M124" s="162">
        <f t="shared" si="21"/>
        <v>0</v>
      </c>
      <c r="N124" s="335"/>
      <c r="O124" s="162">
        <f t="shared" si="22"/>
        <v>0</v>
      </c>
      <c r="P124" s="162">
        <f t="shared" si="23"/>
        <v>0</v>
      </c>
    </row>
    <row r="125" spans="2:16">
      <c r="B125" s="9" t="str">
        <f t="shared" si="14"/>
        <v/>
      </c>
      <c r="C125" s="157">
        <f>IF(D93="","-",+C124+1)</f>
        <v>2040</v>
      </c>
      <c r="D125" s="158">
        <f>IF(F124+SUM(E$99:E124)=D$92,F124,D$92-SUM(E$99:E124))</f>
        <v>920307.23666666634</v>
      </c>
      <c r="E125" s="164">
        <f t="shared" si="16"/>
        <v>52247</v>
      </c>
      <c r="F125" s="163">
        <f t="shared" si="17"/>
        <v>868060.23666666634</v>
      </c>
      <c r="G125" s="163">
        <f t="shared" si="18"/>
        <v>894183.73666666634</v>
      </c>
      <c r="H125" s="167">
        <f t="shared" si="19"/>
        <v>144111.47303386155</v>
      </c>
      <c r="I125" s="317">
        <f t="shared" si="20"/>
        <v>144111.47303386155</v>
      </c>
      <c r="J125" s="162">
        <f t="shared" si="15"/>
        <v>0</v>
      </c>
      <c r="K125" s="162"/>
      <c r="L125" s="335"/>
      <c r="M125" s="162">
        <f t="shared" si="21"/>
        <v>0</v>
      </c>
      <c r="N125" s="335"/>
      <c r="O125" s="162">
        <f t="shared" si="22"/>
        <v>0</v>
      </c>
      <c r="P125" s="162">
        <f t="shared" si="23"/>
        <v>0</v>
      </c>
    </row>
    <row r="126" spans="2:16">
      <c r="B126" s="9" t="str">
        <f t="shared" si="14"/>
        <v/>
      </c>
      <c r="C126" s="157">
        <f>IF(D93="","-",+C125+1)</f>
        <v>2041</v>
      </c>
      <c r="D126" s="158">
        <f>IF(F125+SUM(E$99:E125)=D$92,F125,D$92-SUM(E$99:E125))</f>
        <v>868060.23666666634</v>
      </c>
      <c r="E126" s="164">
        <f t="shared" si="16"/>
        <v>52247</v>
      </c>
      <c r="F126" s="163">
        <f t="shared" si="17"/>
        <v>815813.23666666634</v>
      </c>
      <c r="G126" s="163">
        <f t="shared" si="18"/>
        <v>841936.73666666634</v>
      </c>
      <c r="H126" s="167">
        <f t="shared" si="19"/>
        <v>138743.84787385556</v>
      </c>
      <c r="I126" s="317">
        <f t="shared" si="20"/>
        <v>138743.84787385556</v>
      </c>
      <c r="J126" s="162">
        <f t="shared" si="15"/>
        <v>0</v>
      </c>
      <c r="K126" s="162"/>
      <c r="L126" s="335"/>
      <c r="M126" s="162">
        <f t="shared" si="21"/>
        <v>0</v>
      </c>
      <c r="N126" s="335"/>
      <c r="O126" s="162">
        <f t="shared" si="22"/>
        <v>0</v>
      </c>
      <c r="P126" s="162">
        <f t="shared" si="23"/>
        <v>0</v>
      </c>
    </row>
    <row r="127" spans="2:16">
      <c r="B127" s="9" t="str">
        <f t="shared" si="14"/>
        <v/>
      </c>
      <c r="C127" s="157">
        <f>IF(D93="","-",+C126+1)</f>
        <v>2042</v>
      </c>
      <c r="D127" s="158">
        <f>IF(F126+SUM(E$99:E126)=D$92,F126,D$92-SUM(E$99:E126))</f>
        <v>815813.23666666634</v>
      </c>
      <c r="E127" s="164">
        <f t="shared" si="16"/>
        <v>52247</v>
      </c>
      <c r="F127" s="163">
        <f t="shared" si="17"/>
        <v>763566.23666666634</v>
      </c>
      <c r="G127" s="163">
        <f t="shared" si="18"/>
        <v>789689.73666666634</v>
      </c>
      <c r="H127" s="167">
        <f t="shared" si="19"/>
        <v>133376.22271384957</v>
      </c>
      <c r="I127" s="317">
        <f t="shared" si="20"/>
        <v>133376.22271384957</v>
      </c>
      <c r="J127" s="162">
        <f t="shared" si="15"/>
        <v>0</v>
      </c>
      <c r="K127" s="162"/>
      <c r="L127" s="335"/>
      <c r="M127" s="162">
        <f t="shared" si="21"/>
        <v>0</v>
      </c>
      <c r="N127" s="335"/>
      <c r="O127" s="162">
        <f t="shared" si="22"/>
        <v>0</v>
      </c>
      <c r="P127" s="162">
        <f t="shared" si="23"/>
        <v>0</v>
      </c>
    </row>
    <row r="128" spans="2:16">
      <c r="B128" s="9" t="str">
        <f t="shared" si="14"/>
        <v/>
      </c>
      <c r="C128" s="157">
        <f>IF(D93="","-",+C127+1)</f>
        <v>2043</v>
      </c>
      <c r="D128" s="158">
        <f>IF(F127+SUM(E$99:E127)=D$92,F127,D$92-SUM(E$99:E127))</f>
        <v>763566.23666666634</v>
      </c>
      <c r="E128" s="164">
        <f t="shared" si="16"/>
        <v>52247</v>
      </c>
      <c r="F128" s="163">
        <f t="shared" si="17"/>
        <v>711319.23666666634</v>
      </c>
      <c r="G128" s="163">
        <f t="shared" si="18"/>
        <v>737442.73666666634</v>
      </c>
      <c r="H128" s="167">
        <f t="shared" si="19"/>
        <v>128008.59755384357</v>
      </c>
      <c r="I128" s="317">
        <f t="shared" si="20"/>
        <v>128008.59755384357</v>
      </c>
      <c r="J128" s="162">
        <f t="shared" si="15"/>
        <v>0</v>
      </c>
      <c r="K128" s="162"/>
      <c r="L128" s="335"/>
      <c r="M128" s="162">
        <f t="shared" si="21"/>
        <v>0</v>
      </c>
      <c r="N128" s="335"/>
      <c r="O128" s="162">
        <f t="shared" si="22"/>
        <v>0</v>
      </c>
      <c r="P128" s="162">
        <f t="shared" si="23"/>
        <v>0</v>
      </c>
    </row>
    <row r="129" spans="2:16">
      <c r="B129" s="9" t="str">
        <f t="shared" si="14"/>
        <v/>
      </c>
      <c r="C129" s="157">
        <f>IF(D93="","-",+C128+1)</f>
        <v>2044</v>
      </c>
      <c r="D129" s="158">
        <f>IF(F128+SUM(E$99:E128)=D$92,F128,D$92-SUM(E$99:E128))</f>
        <v>711319.23666666634</v>
      </c>
      <c r="E129" s="164">
        <f t="shared" si="16"/>
        <v>52247</v>
      </c>
      <c r="F129" s="163">
        <f t="shared" si="17"/>
        <v>659072.23666666634</v>
      </c>
      <c r="G129" s="163">
        <f t="shared" si="18"/>
        <v>685195.73666666634</v>
      </c>
      <c r="H129" s="167">
        <f t="shared" si="19"/>
        <v>122640.9723938376</v>
      </c>
      <c r="I129" s="317">
        <f t="shared" si="20"/>
        <v>122640.9723938376</v>
      </c>
      <c r="J129" s="162">
        <f t="shared" si="15"/>
        <v>0</v>
      </c>
      <c r="K129" s="162"/>
      <c r="L129" s="335"/>
      <c r="M129" s="162">
        <f t="shared" si="21"/>
        <v>0</v>
      </c>
      <c r="N129" s="335"/>
      <c r="O129" s="162">
        <f t="shared" si="22"/>
        <v>0</v>
      </c>
      <c r="P129" s="162">
        <f t="shared" si="23"/>
        <v>0</v>
      </c>
    </row>
    <row r="130" spans="2:16">
      <c r="B130" s="9" t="str">
        <f t="shared" si="14"/>
        <v/>
      </c>
      <c r="C130" s="157">
        <f>IF(D93="","-",+C129+1)</f>
        <v>2045</v>
      </c>
      <c r="D130" s="158">
        <f>IF(F129+SUM(E$99:E129)=D$92,F129,D$92-SUM(E$99:E129))</f>
        <v>659072.23666666634</v>
      </c>
      <c r="E130" s="164">
        <f t="shared" si="16"/>
        <v>52247</v>
      </c>
      <c r="F130" s="163">
        <f t="shared" si="17"/>
        <v>606825.23666666634</v>
      </c>
      <c r="G130" s="163">
        <f t="shared" si="18"/>
        <v>632948.73666666634</v>
      </c>
      <c r="H130" s="167">
        <f t="shared" si="19"/>
        <v>117273.34723383162</v>
      </c>
      <c r="I130" s="317">
        <f t="shared" si="20"/>
        <v>117273.34723383162</v>
      </c>
      <c r="J130" s="162">
        <f t="shared" si="15"/>
        <v>0</v>
      </c>
      <c r="K130" s="162"/>
      <c r="L130" s="335"/>
      <c r="M130" s="162">
        <f t="shared" si="21"/>
        <v>0</v>
      </c>
      <c r="N130" s="335"/>
      <c r="O130" s="162">
        <f t="shared" si="22"/>
        <v>0</v>
      </c>
      <c r="P130" s="162">
        <f t="shared" si="23"/>
        <v>0</v>
      </c>
    </row>
    <row r="131" spans="2:16">
      <c r="B131" s="9" t="str">
        <f t="shared" si="14"/>
        <v/>
      </c>
      <c r="C131" s="157">
        <f>IF(D93="","-",+C130+1)</f>
        <v>2046</v>
      </c>
      <c r="D131" s="158">
        <f>IF(F130+SUM(E$99:E130)=D$92,F130,D$92-SUM(E$99:E130))</f>
        <v>606825.23666666634</v>
      </c>
      <c r="E131" s="164">
        <f t="shared" si="16"/>
        <v>52247</v>
      </c>
      <c r="F131" s="163">
        <f t="shared" si="17"/>
        <v>554578.23666666634</v>
      </c>
      <c r="G131" s="163">
        <f t="shared" si="18"/>
        <v>580701.73666666634</v>
      </c>
      <c r="H131" s="167">
        <f t="shared" si="19"/>
        <v>111905.72207382563</v>
      </c>
      <c r="I131" s="317">
        <f t="shared" si="20"/>
        <v>111905.72207382563</v>
      </c>
      <c r="J131" s="162">
        <f t="shared" si="15"/>
        <v>0</v>
      </c>
      <c r="K131" s="162"/>
      <c r="L131" s="335"/>
      <c r="M131" s="162">
        <f t="shared" ref="M131:M154" si="24">IF(L541&lt;&gt;0,+H541-L541,0)</f>
        <v>0</v>
      </c>
      <c r="N131" s="335"/>
      <c r="O131" s="162">
        <f t="shared" ref="O131:O154" si="25">IF(N541&lt;&gt;0,+I541-N541,0)</f>
        <v>0</v>
      </c>
      <c r="P131" s="162">
        <f t="shared" ref="P131:P154" si="26">+O541-M541</f>
        <v>0</v>
      </c>
    </row>
    <row r="132" spans="2:16">
      <c r="B132" s="9" t="str">
        <f t="shared" si="14"/>
        <v/>
      </c>
      <c r="C132" s="157">
        <f>IF(D93="","-",+C131+1)</f>
        <v>2047</v>
      </c>
      <c r="D132" s="158">
        <f>IF(F131+SUM(E$99:E131)=D$92,F131,D$92-SUM(E$99:E131))</f>
        <v>554578.23666666634</v>
      </c>
      <c r="E132" s="164">
        <f t="shared" si="16"/>
        <v>52247</v>
      </c>
      <c r="F132" s="163">
        <f t="shared" si="17"/>
        <v>502331.23666666634</v>
      </c>
      <c r="G132" s="163">
        <f t="shared" si="18"/>
        <v>528454.73666666634</v>
      </c>
      <c r="H132" s="167">
        <f t="shared" si="19"/>
        <v>106538.09691381964</v>
      </c>
      <c r="I132" s="317">
        <f t="shared" si="20"/>
        <v>106538.09691381964</v>
      </c>
      <c r="J132" s="162">
        <f t="shared" si="15"/>
        <v>0</v>
      </c>
      <c r="K132" s="162"/>
      <c r="L132" s="335"/>
      <c r="M132" s="162">
        <f t="shared" si="24"/>
        <v>0</v>
      </c>
      <c r="N132" s="335"/>
      <c r="O132" s="162">
        <f t="shared" si="25"/>
        <v>0</v>
      </c>
      <c r="P132" s="162">
        <f t="shared" si="26"/>
        <v>0</v>
      </c>
    </row>
    <row r="133" spans="2:16">
      <c r="B133" s="9" t="str">
        <f t="shared" si="14"/>
        <v/>
      </c>
      <c r="C133" s="157">
        <f>IF(D93="","-",+C132+1)</f>
        <v>2048</v>
      </c>
      <c r="D133" s="158">
        <f>IF(F132+SUM(E$99:E132)=D$92,F132,D$92-SUM(E$99:E132))</f>
        <v>502331.23666666634</v>
      </c>
      <c r="E133" s="164">
        <f t="shared" si="16"/>
        <v>52247</v>
      </c>
      <c r="F133" s="163">
        <f t="shared" si="17"/>
        <v>450084.23666666634</v>
      </c>
      <c r="G133" s="163">
        <f t="shared" si="18"/>
        <v>476207.73666666634</v>
      </c>
      <c r="H133" s="167">
        <f t="shared" si="19"/>
        <v>101170.47175381366</v>
      </c>
      <c r="I133" s="317">
        <f t="shared" si="20"/>
        <v>101170.47175381366</v>
      </c>
      <c r="J133" s="162">
        <f t="shared" si="15"/>
        <v>0</v>
      </c>
      <c r="K133" s="162"/>
      <c r="L133" s="335"/>
      <c r="M133" s="162">
        <f t="shared" si="24"/>
        <v>0</v>
      </c>
      <c r="N133" s="335"/>
      <c r="O133" s="162">
        <f t="shared" si="25"/>
        <v>0</v>
      </c>
      <c r="P133" s="162">
        <f t="shared" si="26"/>
        <v>0</v>
      </c>
    </row>
    <row r="134" spans="2:16">
      <c r="B134" s="9" t="str">
        <f t="shared" si="14"/>
        <v/>
      </c>
      <c r="C134" s="157">
        <f>IF(D93="","-",+C133+1)</f>
        <v>2049</v>
      </c>
      <c r="D134" s="158">
        <f>IF(F133+SUM(E$99:E133)=D$92,F133,D$92-SUM(E$99:E133))</f>
        <v>450084.23666666634</v>
      </c>
      <c r="E134" s="164">
        <f t="shared" si="16"/>
        <v>52247</v>
      </c>
      <c r="F134" s="163">
        <f t="shared" si="17"/>
        <v>397837.23666666634</v>
      </c>
      <c r="G134" s="163">
        <f t="shared" si="18"/>
        <v>423960.73666666634</v>
      </c>
      <c r="H134" s="167">
        <f t="shared" si="19"/>
        <v>95802.846593807684</v>
      </c>
      <c r="I134" s="317">
        <f t="shared" si="20"/>
        <v>95802.846593807684</v>
      </c>
      <c r="J134" s="162">
        <f t="shared" si="15"/>
        <v>0</v>
      </c>
      <c r="K134" s="162"/>
      <c r="L134" s="335"/>
      <c r="M134" s="162">
        <f t="shared" si="24"/>
        <v>0</v>
      </c>
      <c r="N134" s="335"/>
      <c r="O134" s="162">
        <f t="shared" si="25"/>
        <v>0</v>
      </c>
      <c r="P134" s="162">
        <f t="shared" si="26"/>
        <v>0</v>
      </c>
    </row>
    <row r="135" spans="2:16">
      <c r="B135" s="9" t="str">
        <f t="shared" si="14"/>
        <v/>
      </c>
      <c r="C135" s="157">
        <f>IF(D93="","-",+C134+1)</f>
        <v>2050</v>
      </c>
      <c r="D135" s="158">
        <f>IF(F134+SUM(E$99:E134)=D$92,F134,D$92-SUM(E$99:E134))</f>
        <v>397837.23666666634</v>
      </c>
      <c r="E135" s="164">
        <f t="shared" si="16"/>
        <v>52247</v>
      </c>
      <c r="F135" s="163">
        <f t="shared" si="17"/>
        <v>345590.23666666634</v>
      </c>
      <c r="G135" s="163">
        <f t="shared" si="18"/>
        <v>371713.73666666634</v>
      </c>
      <c r="H135" s="167">
        <f t="shared" si="19"/>
        <v>90435.221433801693</v>
      </c>
      <c r="I135" s="317">
        <f t="shared" si="20"/>
        <v>90435.221433801693</v>
      </c>
      <c r="J135" s="162">
        <f t="shared" si="15"/>
        <v>0</v>
      </c>
      <c r="K135" s="162"/>
      <c r="L135" s="335"/>
      <c r="M135" s="162">
        <f t="shared" si="24"/>
        <v>0</v>
      </c>
      <c r="N135" s="335"/>
      <c r="O135" s="162">
        <f t="shared" si="25"/>
        <v>0</v>
      </c>
      <c r="P135" s="162">
        <f t="shared" si="26"/>
        <v>0</v>
      </c>
    </row>
    <row r="136" spans="2:16">
      <c r="B136" s="9" t="str">
        <f t="shared" si="14"/>
        <v/>
      </c>
      <c r="C136" s="157">
        <f>IF(D93="","-",+C135+1)</f>
        <v>2051</v>
      </c>
      <c r="D136" s="158">
        <f>IF(F135+SUM(E$99:E135)=D$92,F135,D$92-SUM(E$99:E135))</f>
        <v>345590.23666666634</v>
      </c>
      <c r="E136" s="164">
        <f t="shared" si="16"/>
        <v>52247</v>
      </c>
      <c r="F136" s="163">
        <f t="shared" si="17"/>
        <v>293343.23666666634</v>
      </c>
      <c r="G136" s="163">
        <f t="shared" si="18"/>
        <v>319466.73666666634</v>
      </c>
      <c r="H136" s="167">
        <f t="shared" si="19"/>
        <v>85067.596273795702</v>
      </c>
      <c r="I136" s="317">
        <f t="shared" si="20"/>
        <v>85067.596273795702</v>
      </c>
      <c r="J136" s="162">
        <f t="shared" si="15"/>
        <v>0</v>
      </c>
      <c r="K136" s="162"/>
      <c r="L136" s="335"/>
      <c r="M136" s="162">
        <f t="shared" si="24"/>
        <v>0</v>
      </c>
      <c r="N136" s="335"/>
      <c r="O136" s="162">
        <f t="shared" si="25"/>
        <v>0</v>
      </c>
      <c r="P136" s="162">
        <f t="shared" si="26"/>
        <v>0</v>
      </c>
    </row>
    <row r="137" spans="2:16">
      <c r="B137" s="9" t="str">
        <f t="shared" si="14"/>
        <v/>
      </c>
      <c r="C137" s="157">
        <f>IF(D93="","-",+C136+1)</f>
        <v>2052</v>
      </c>
      <c r="D137" s="158">
        <f>IF(F136+SUM(E$99:E136)=D$92,F136,D$92-SUM(E$99:E136))</f>
        <v>293343.23666666634</v>
      </c>
      <c r="E137" s="164">
        <f t="shared" si="16"/>
        <v>52247</v>
      </c>
      <c r="F137" s="163">
        <f t="shared" si="17"/>
        <v>241096.23666666634</v>
      </c>
      <c r="G137" s="163">
        <f t="shared" si="18"/>
        <v>267219.73666666634</v>
      </c>
      <c r="H137" s="167">
        <f t="shared" si="19"/>
        <v>79699.971113789725</v>
      </c>
      <c r="I137" s="317">
        <f t="shared" si="20"/>
        <v>79699.971113789725</v>
      </c>
      <c r="J137" s="162">
        <f t="shared" si="15"/>
        <v>0</v>
      </c>
      <c r="K137" s="162"/>
      <c r="L137" s="335"/>
      <c r="M137" s="162">
        <f t="shared" si="24"/>
        <v>0</v>
      </c>
      <c r="N137" s="335"/>
      <c r="O137" s="162">
        <f t="shared" si="25"/>
        <v>0</v>
      </c>
      <c r="P137" s="162">
        <f t="shared" si="26"/>
        <v>0</v>
      </c>
    </row>
    <row r="138" spans="2:16">
      <c r="B138" s="9" t="str">
        <f t="shared" si="14"/>
        <v/>
      </c>
      <c r="C138" s="157">
        <f>IF(D93="","-",+C137+1)</f>
        <v>2053</v>
      </c>
      <c r="D138" s="158">
        <f>IF(F137+SUM(E$99:E137)=D$92,F137,D$92-SUM(E$99:E137))</f>
        <v>241096.23666666634</v>
      </c>
      <c r="E138" s="164">
        <f t="shared" si="16"/>
        <v>52247</v>
      </c>
      <c r="F138" s="163">
        <f t="shared" si="17"/>
        <v>188849.23666666634</v>
      </c>
      <c r="G138" s="163">
        <f t="shared" si="18"/>
        <v>214972.73666666634</v>
      </c>
      <c r="H138" s="167">
        <f t="shared" si="19"/>
        <v>74332.345953783748</v>
      </c>
      <c r="I138" s="317">
        <f t="shared" si="20"/>
        <v>74332.345953783748</v>
      </c>
      <c r="J138" s="162">
        <f t="shared" si="15"/>
        <v>0</v>
      </c>
      <c r="K138" s="162"/>
      <c r="L138" s="335"/>
      <c r="M138" s="162">
        <f t="shared" si="24"/>
        <v>0</v>
      </c>
      <c r="N138" s="335"/>
      <c r="O138" s="162">
        <f t="shared" si="25"/>
        <v>0</v>
      </c>
      <c r="P138" s="162">
        <f t="shared" si="26"/>
        <v>0</v>
      </c>
    </row>
    <row r="139" spans="2:16">
      <c r="B139" s="9" t="str">
        <f t="shared" si="14"/>
        <v/>
      </c>
      <c r="C139" s="157">
        <f>IF(D93="","-",+C138+1)</f>
        <v>2054</v>
      </c>
      <c r="D139" s="158">
        <f>IF(F138+SUM(E$99:E138)=D$92,F138,D$92-SUM(E$99:E138))</f>
        <v>188849.23666666634</v>
      </c>
      <c r="E139" s="164">
        <f t="shared" si="16"/>
        <v>52247</v>
      </c>
      <c r="F139" s="163">
        <f t="shared" si="17"/>
        <v>136602.23666666634</v>
      </c>
      <c r="G139" s="163">
        <f t="shared" si="18"/>
        <v>162725.73666666634</v>
      </c>
      <c r="H139" s="167">
        <f t="shared" si="19"/>
        <v>68964.720793777757</v>
      </c>
      <c r="I139" s="317">
        <f t="shared" si="20"/>
        <v>68964.720793777757</v>
      </c>
      <c r="J139" s="162">
        <f t="shared" si="15"/>
        <v>0</v>
      </c>
      <c r="K139" s="162"/>
      <c r="L139" s="335"/>
      <c r="M139" s="162">
        <f t="shared" si="24"/>
        <v>0</v>
      </c>
      <c r="N139" s="335"/>
      <c r="O139" s="162">
        <f t="shared" si="25"/>
        <v>0</v>
      </c>
      <c r="P139" s="162">
        <f t="shared" si="26"/>
        <v>0</v>
      </c>
    </row>
    <row r="140" spans="2:16">
      <c r="B140" s="9" t="str">
        <f t="shared" si="14"/>
        <v/>
      </c>
      <c r="C140" s="157">
        <f>IF(D93="","-",+C139+1)</f>
        <v>2055</v>
      </c>
      <c r="D140" s="158">
        <f>IF(F139+SUM(E$99:E139)=D$92,F139,D$92-SUM(E$99:E139))</f>
        <v>136602.23666666634</v>
      </c>
      <c r="E140" s="164">
        <f t="shared" si="16"/>
        <v>52247</v>
      </c>
      <c r="F140" s="163">
        <f t="shared" si="17"/>
        <v>84355.236666666344</v>
      </c>
      <c r="G140" s="163">
        <f t="shared" si="18"/>
        <v>110478.73666666634</v>
      </c>
      <c r="H140" s="167">
        <f t="shared" si="19"/>
        <v>63597.095633771773</v>
      </c>
      <c r="I140" s="317">
        <f t="shared" si="20"/>
        <v>63597.095633771773</v>
      </c>
      <c r="J140" s="162">
        <f t="shared" si="15"/>
        <v>0</v>
      </c>
      <c r="K140" s="162"/>
      <c r="L140" s="335"/>
      <c r="M140" s="162">
        <f t="shared" si="24"/>
        <v>0</v>
      </c>
      <c r="N140" s="335"/>
      <c r="O140" s="162">
        <f t="shared" si="25"/>
        <v>0</v>
      </c>
      <c r="P140" s="162">
        <f t="shared" si="26"/>
        <v>0</v>
      </c>
    </row>
    <row r="141" spans="2:16">
      <c r="B141" s="9" t="str">
        <f t="shared" si="14"/>
        <v/>
      </c>
      <c r="C141" s="157">
        <f>IF(D93="","-",+C140+1)</f>
        <v>2056</v>
      </c>
      <c r="D141" s="158">
        <f>IF(F140+SUM(E$99:E140)=D$92,F140,D$92-SUM(E$99:E140))</f>
        <v>84355.236666666344</v>
      </c>
      <c r="E141" s="164">
        <f t="shared" si="16"/>
        <v>52247</v>
      </c>
      <c r="F141" s="163">
        <f t="shared" si="17"/>
        <v>32108.236666666344</v>
      </c>
      <c r="G141" s="163">
        <f t="shared" si="18"/>
        <v>58231.736666666344</v>
      </c>
      <c r="H141" s="167">
        <f t="shared" si="19"/>
        <v>58229.470473765788</v>
      </c>
      <c r="I141" s="317">
        <f t="shared" si="20"/>
        <v>58229.470473765788</v>
      </c>
      <c r="J141" s="162">
        <f t="shared" si="15"/>
        <v>0</v>
      </c>
      <c r="K141" s="162"/>
      <c r="L141" s="335"/>
      <c r="M141" s="162">
        <f t="shared" si="24"/>
        <v>0</v>
      </c>
      <c r="N141" s="335"/>
      <c r="O141" s="162">
        <f t="shared" si="25"/>
        <v>0</v>
      </c>
      <c r="P141" s="162">
        <f t="shared" si="26"/>
        <v>0</v>
      </c>
    </row>
    <row r="142" spans="2:16">
      <c r="B142" s="9" t="str">
        <f t="shared" si="14"/>
        <v/>
      </c>
      <c r="C142" s="157">
        <f>IF(D93="","-",+C141+1)</f>
        <v>2057</v>
      </c>
      <c r="D142" s="158">
        <f>IF(F141+SUM(E$99:E141)=D$92,F141,D$92-SUM(E$99:E141))</f>
        <v>32108.236666666344</v>
      </c>
      <c r="E142" s="164">
        <f t="shared" si="16"/>
        <v>32108.236666666344</v>
      </c>
      <c r="F142" s="163">
        <f t="shared" si="17"/>
        <v>0</v>
      </c>
      <c r="G142" s="163">
        <f t="shared" si="18"/>
        <v>16054.118333333172</v>
      </c>
      <c r="H142" s="167">
        <f t="shared" si="19"/>
        <v>33757.56561354774</v>
      </c>
      <c r="I142" s="317">
        <f t="shared" si="20"/>
        <v>33757.56561354774</v>
      </c>
      <c r="J142" s="162">
        <f t="shared" si="15"/>
        <v>0</v>
      </c>
      <c r="K142" s="162"/>
      <c r="L142" s="335"/>
      <c r="M142" s="162">
        <f t="shared" si="24"/>
        <v>0</v>
      </c>
      <c r="N142" s="335"/>
      <c r="O142" s="162">
        <f t="shared" si="25"/>
        <v>0</v>
      </c>
      <c r="P142" s="162">
        <f t="shared" si="26"/>
        <v>0</v>
      </c>
    </row>
    <row r="143" spans="2:16">
      <c r="B143" s="9" t="str">
        <f t="shared" si="14"/>
        <v/>
      </c>
      <c r="C143" s="157">
        <f>IF(D93="","-",+C142+1)</f>
        <v>2058</v>
      </c>
      <c r="D143" s="158">
        <f>IF(F142+SUM(E$99:E142)=D$92,F142,D$92-SUM(E$99:E142))</f>
        <v>0</v>
      </c>
      <c r="E143" s="164">
        <f t="shared" si="16"/>
        <v>0</v>
      </c>
      <c r="F143" s="163">
        <f t="shared" si="17"/>
        <v>0</v>
      </c>
      <c r="G143" s="163">
        <f t="shared" si="18"/>
        <v>0</v>
      </c>
      <c r="H143" s="167">
        <f t="shared" si="19"/>
        <v>0</v>
      </c>
      <c r="I143" s="317">
        <f t="shared" si="20"/>
        <v>0</v>
      </c>
      <c r="J143" s="162">
        <f t="shared" si="15"/>
        <v>0</v>
      </c>
      <c r="K143" s="162"/>
      <c r="L143" s="335"/>
      <c r="M143" s="162">
        <f t="shared" si="24"/>
        <v>0</v>
      </c>
      <c r="N143" s="335"/>
      <c r="O143" s="162">
        <f t="shared" si="25"/>
        <v>0</v>
      </c>
      <c r="P143" s="162">
        <f t="shared" si="26"/>
        <v>0</v>
      </c>
    </row>
    <row r="144" spans="2:16">
      <c r="B144" s="9" t="str">
        <f t="shared" si="14"/>
        <v/>
      </c>
      <c r="C144" s="157">
        <f>IF(D93="","-",+C143+1)</f>
        <v>2059</v>
      </c>
      <c r="D144" s="158">
        <f>IF(F143+SUM(E$99:E143)=D$92,F143,D$92-SUM(E$99:E143))</f>
        <v>0</v>
      </c>
      <c r="E144" s="164">
        <f t="shared" si="16"/>
        <v>0</v>
      </c>
      <c r="F144" s="163">
        <f t="shared" si="17"/>
        <v>0</v>
      </c>
      <c r="G144" s="163">
        <f t="shared" si="18"/>
        <v>0</v>
      </c>
      <c r="H144" s="167">
        <f t="shared" si="19"/>
        <v>0</v>
      </c>
      <c r="I144" s="317">
        <f t="shared" si="20"/>
        <v>0</v>
      </c>
      <c r="J144" s="162">
        <f t="shared" si="15"/>
        <v>0</v>
      </c>
      <c r="K144" s="162"/>
      <c r="L144" s="335"/>
      <c r="M144" s="162">
        <f t="shared" si="24"/>
        <v>0</v>
      </c>
      <c r="N144" s="335"/>
      <c r="O144" s="162">
        <f t="shared" si="25"/>
        <v>0</v>
      </c>
      <c r="P144" s="162">
        <f t="shared" si="26"/>
        <v>0</v>
      </c>
    </row>
    <row r="145" spans="2:16">
      <c r="B145" s="9" t="str">
        <f t="shared" si="14"/>
        <v/>
      </c>
      <c r="C145" s="157">
        <f>IF(D93="","-",+C144+1)</f>
        <v>2060</v>
      </c>
      <c r="D145" s="158">
        <f>IF(F144+SUM(E$99:E144)=D$92,F144,D$92-SUM(E$99:E144))</f>
        <v>0</v>
      </c>
      <c r="E145" s="164">
        <f t="shared" si="16"/>
        <v>0</v>
      </c>
      <c r="F145" s="163">
        <f t="shared" si="17"/>
        <v>0</v>
      </c>
      <c r="G145" s="163">
        <f t="shared" si="18"/>
        <v>0</v>
      </c>
      <c r="H145" s="167">
        <f t="shared" si="19"/>
        <v>0</v>
      </c>
      <c r="I145" s="317">
        <f t="shared" si="20"/>
        <v>0</v>
      </c>
      <c r="J145" s="162">
        <f t="shared" si="15"/>
        <v>0</v>
      </c>
      <c r="K145" s="162"/>
      <c r="L145" s="335"/>
      <c r="M145" s="162">
        <f t="shared" si="24"/>
        <v>0</v>
      </c>
      <c r="N145" s="335"/>
      <c r="O145" s="162">
        <f t="shared" si="25"/>
        <v>0</v>
      </c>
      <c r="P145" s="162">
        <f t="shared" si="26"/>
        <v>0</v>
      </c>
    </row>
    <row r="146" spans="2:16">
      <c r="B146" s="9" t="str">
        <f t="shared" si="14"/>
        <v/>
      </c>
      <c r="C146" s="157">
        <f>IF(D93="","-",+C145+1)</f>
        <v>2061</v>
      </c>
      <c r="D146" s="158">
        <f>IF(F145+SUM(E$99:E145)=D$92,F145,D$92-SUM(E$99:E145))</f>
        <v>0</v>
      </c>
      <c r="E146" s="164">
        <f t="shared" si="16"/>
        <v>0</v>
      </c>
      <c r="F146" s="163">
        <f t="shared" si="17"/>
        <v>0</v>
      </c>
      <c r="G146" s="163">
        <f t="shared" si="18"/>
        <v>0</v>
      </c>
      <c r="H146" s="167">
        <f t="shared" si="19"/>
        <v>0</v>
      </c>
      <c r="I146" s="317">
        <f t="shared" si="20"/>
        <v>0</v>
      </c>
      <c r="J146" s="162">
        <f t="shared" si="15"/>
        <v>0</v>
      </c>
      <c r="K146" s="162"/>
      <c r="L146" s="335"/>
      <c r="M146" s="162">
        <f t="shared" si="24"/>
        <v>0</v>
      </c>
      <c r="N146" s="335"/>
      <c r="O146" s="162">
        <f t="shared" si="25"/>
        <v>0</v>
      </c>
      <c r="P146" s="162">
        <f t="shared" si="26"/>
        <v>0</v>
      </c>
    </row>
    <row r="147" spans="2:16">
      <c r="B147" s="9" t="str">
        <f t="shared" si="14"/>
        <v/>
      </c>
      <c r="C147" s="157">
        <f>IF(D93="","-",+C146+1)</f>
        <v>2062</v>
      </c>
      <c r="D147" s="158">
        <f>IF(F146+SUM(E$99:E146)=D$92,F146,D$92-SUM(E$99:E146))</f>
        <v>0</v>
      </c>
      <c r="E147" s="164">
        <f t="shared" si="16"/>
        <v>0</v>
      </c>
      <c r="F147" s="163">
        <f t="shared" si="17"/>
        <v>0</v>
      </c>
      <c r="G147" s="163">
        <f t="shared" si="18"/>
        <v>0</v>
      </c>
      <c r="H147" s="167">
        <f t="shared" si="19"/>
        <v>0</v>
      </c>
      <c r="I147" s="317">
        <f t="shared" si="20"/>
        <v>0</v>
      </c>
      <c r="J147" s="162">
        <f t="shared" si="15"/>
        <v>0</v>
      </c>
      <c r="K147" s="162"/>
      <c r="L147" s="335"/>
      <c r="M147" s="162">
        <f t="shared" si="24"/>
        <v>0</v>
      </c>
      <c r="N147" s="335"/>
      <c r="O147" s="162">
        <f t="shared" si="25"/>
        <v>0</v>
      </c>
      <c r="P147" s="162">
        <f t="shared" si="26"/>
        <v>0</v>
      </c>
    </row>
    <row r="148" spans="2:16">
      <c r="B148" s="9" t="str">
        <f t="shared" si="14"/>
        <v/>
      </c>
      <c r="C148" s="157">
        <f>IF(D93="","-",+C147+1)</f>
        <v>2063</v>
      </c>
      <c r="D148" s="158">
        <f>IF(F147+SUM(E$99:E147)=D$92,F147,D$92-SUM(E$99:E147))</f>
        <v>0</v>
      </c>
      <c r="E148" s="164">
        <f t="shared" si="16"/>
        <v>0</v>
      </c>
      <c r="F148" s="163">
        <f t="shared" si="17"/>
        <v>0</v>
      </c>
      <c r="G148" s="163">
        <f t="shared" si="18"/>
        <v>0</v>
      </c>
      <c r="H148" s="167">
        <f t="shared" si="19"/>
        <v>0</v>
      </c>
      <c r="I148" s="317">
        <f t="shared" si="20"/>
        <v>0</v>
      </c>
      <c r="J148" s="162">
        <f t="shared" si="15"/>
        <v>0</v>
      </c>
      <c r="K148" s="162"/>
      <c r="L148" s="335"/>
      <c r="M148" s="162">
        <f t="shared" si="24"/>
        <v>0</v>
      </c>
      <c r="N148" s="335"/>
      <c r="O148" s="162">
        <f t="shared" si="25"/>
        <v>0</v>
      </c>
      <c r="P148" s="162">
        <f t="shared" si="26"/>
        <v>0</v>
      </c>
    </row>
    <row r="149" spans="2:16">
      <c r="B149" s="9" t="str">
        <f t="shared" si="14"/>
        <v/>
      </c>
      <c r="C149" s="157">
        <f>IF(D93="","-",+C148+1)</f>
        <v>2064</v>
      </c>
      <c r="D149" s="158">
        <f>IF(F148+SUM(E$99:E148)=D$92,F148,D$92-SUM(E$99:E148))</f>
        <v>0</v>
      </c>
      <c r="E149" s="164">
        <f t="shared" si="16"/>
        <v>0</v>
      </c>
      <c r="F149" s="163">
        <f t="shared" si="17"/>
        <v>0</v>
      </c>
      <c r="G149" s="163">
        <f t="shared" si="18"/>
        <v>0</v>
      </c>
      <c r="H149" s="167">
        <f t="shared" si="19"/>
        <v>0</v>
      </c>
      <c r="I149" s="317">
        <f t="shared" si="20"/>
        <v>0</v>
      </c>
      <c r="J149" s="162">
        <f t="shared" si="15"/>
        <v>0</v>
      </c>
      <c r="K149" s="162"/>
      <c r="L149" s="335"/>
      <c r="M149" s="162">
        <f t="shared" si="24"/>
        <v>0</v>
      </c>
      <c r="N149" s="335"/>
      <c r="O149" s="162">
        <f t="shared" si="25"/>
        <v>0</v>
      </c>
      <c r="P149" s="162">
        <f t="shared" si="26"/>
        <v>0</v>
      </c>
    </row>
    <row r="150" spans="2:16">
      <c r="B150" s="9" t="str">
        <f t="shared" si="14"/>
        <v/>
      </c>
      <c r="C150" s="157">
        <f>IF(D93="","-",+C149+1)</f>
        <v>2065</v>
      </c>
      <c r="D150" s="158">
        <f>IF(F149+SUM(E$99:E149)=D$92,F149,D$92-SUM(E$99:E149))</f>
        <v>0</v>
      </c>
      <c r="E150" s="164">
        <f t="shared" si="16"/>
        <v>0</v>
      </c>
      <c r="F150" s="163">
        <f t="shared" si="17"/>
        <v>0</v>
      </c>
      <c r="G150" s="163">
        <f t="shared" si="18"/>
        <v>0</v>
      </c>
      <c r="H150" s="167">
        <f t="shared" si="19"/>
        <v>0</v>
      </c>
      <c r="I150" s="317">
        <f t="shared" si="20"/>
        <v>0</v>
      </c>
      <c r="J150" s="162">
        <f t="shared" si="15"/>
        <v>0</v>
      </c>
      <c r="K150" s="162"/>
      <c r="L150" s="335"/>
      <c r="M150" s="162">
        <f t="shared" si="24"/>
        <v>0</v>
      </c>
      <c r="N150" s="335"/>
      <c r="O150" s="162">
        <f t="shared" si="25"/>
        <v>0</v>
      </c>
      <c r="P150" s="162">
        <f t="shared" si="26"/>
        <v>0</v>
      </c>
    </row>
    <row r="151" spans="2:16">
      <c r="B151" s="9" t="str">
        <f t="shared" si="14"/>
        <v/>
      </c>
      <c r="C151" s="157">
        <f>IF(D93="","-",+C150+1)</f>
        <v>2066</v>
      </c>
      <c r="D151" s="158">
        <f>IF(F150+SUM(E$99:E150)=D$92,F150,D$92-SUM(E$99:E150))</f>
        <v>0</v>
      </c>
      <c r="E151" s="164">
        <f t="shared" si="16"/>
        <v>0</v>
      </c>
      <c r="F151" s="163">
        <f t="shared" si="17"/>
        <v>0</v>
      </c>
      <c r="G151" s="163">
        <f t="shared" si="18"/>
        <v>0</v>
      </c>
      <c r="H151" s="167">
        <f t="shared" si="19"/>
        <v>0</v>
      </c>
      <c r="I151" s="317">
        <f t="shared" si="20"/>
        <v>0</v>
      </c>
      <c r="J151" s="162">
        <f t="shared" si="15"/>
        <v>0</v>
      </c>
      <c r="K151" s="162"/>
      <c r="L151" s="335"/>
      <c r="M151" s="162">
        <f t="shared" si="24"/>
        <v>0</v>
      </c>
      <c r="N151" s="335"/>
      <c r="O151" s="162">
        <f t="shared" si="25"/>
        <v>0</v>
      </c>
      <c r="P151" s="162">
        <f t="shared" si="26"/>
        <v>0</v>
      </c>
    </row>
    <row r="152" spans="2:16">
      <c r="B152" s="9" t="str">
        <f t="shared" si="14"/>
        <v/>
      </c>
      <c r="C152" s="157">
        <f>IF(D93="","-",+C151+1)</f>
        <v>2067</v>
      </c>
      <c r="D152" s="158">
        <f>IF(F151+SUM(E$99:E151)=D$92,F151,D$92-SUM(E$99:E151))</f>
        <v>0</v>
      </c>
      <c r="E152" s="164">
        <f t="shared" si="16"/>
        <v>0</v>
      </c>
      <c r="F152" s="163">
        <f t="shared" si="17"/>
        <v>0</v>
      </c>
      <c r="G152" s="163">
        <f t="shared" si="18"/>
        <v>0</v>
      </c>
      <c r="H152" s="167">
        <f t="shared" si="19"/>
        <v>0</v>
      </c>
      <c r="I152" s="317">
        <f t="shared" si="20"/>
        <v>0</v>
      </c>
      <c r="J152" s="162">
        <f t="shared" si="15"/>
        <v>0</v>
      </c>
      <c r="K152" s="162"/>
      <c r="L152" s="335"/>
      <c r="M152" s="162">
        <f t="shared" si="24"/>
        <v>0</v>
      </c>
      <c r="N152" s="335"/>
      <c r="O152" s="162">
        <f t="shared" si="25"/>
        <v>0</v>
      </c>
      <c r="P152" s="162">
        <f t="shared" si="26"/>
        <v>0</v>
      </c>
    </row>
    <row r="153" spans="2:16">
      <c r="B153" s="9" t="str">
        <f t="shared" si="14"/>
        <v/>
      </c>
      <c r="C153" s="157">
        <f>IF(D93="","-",+C152+1)</f>
        <v>2068</v>
      </c>
      <c r="D153" s="158">
        <f>IF(F152+SUM(E$99:E152)=D$92,F152,D$92-SUM(E$99:E152))</f>
        <v>0</v>
      </c>
      <c r="E153" s="164">
        <f t="shared" si="16"/>
        <v>0</v>
      </c>
      <c r="F153" s="163">
        <f t="shared" si="17"/>
        <v>0</v>
      </c>
      <c r="G153" s="163">
        <f t="shared" si="18"/>
        <v>0</v>
      </c>
      <c r="H153" s="167">
        <f t="shared" si="19"/>
        <v>0</v>
      </c>
      <c r="I153" s="317">
        <f t="shared" si="20"/>
        <v>0</v>
      </c>
      <c r="J153" s="162">
        <f t="shared" si="15"/>
        <v>0</v>
      </c>
      <c r="K153" s="162"/>
      <c r="L153" s="335"/>
      <c r="M153" s="162">
        <f t="shared" si="24"/>
        <v>0</v>
      </c>
      <c r="N153" s="335"/>
      <c r="O153" s="162">
        <f t="shared" si="25"/>
        <v>0</v>
      </c>
      <c r="P153" s="162">
        <f t="shared" si="26"/>
        <v>0</v>
      </c>
    </row>
    <row r="154" spans="2:16" ht="13.5" thickBot="1">
      <c r="B154" s="9" t="str">
        <f t="shared" si="14"/>
        <v/>
      </c>
      <c r="C154" s="168">
        <f>IF(D93="","-",+C153+1)</f>
        <v>2069</v>
      </c>
      <c r="D154" s="158">
        <f>IF(F153+SUM(E$99:E153)=D$92,F153,D$92-SUM(E$99:E153))</f>
        <v>0</v>
      </c>
      <c r="E154" s="164">
        <f t="shared" si="16"/>
        <v>0</v>
      </c>
      <c r="F154" s="163">
        <f t="shared" si="17"/>
        <v>0</v>
      </c>
      <c r="G154" s="163">
        <f t="shared" si="18"/>
        <v>0</v>
      </c>
      <c r="H154" s="167">
        <f t="shared" si="19"/>
        <v>0</v>
      </c>
      <c r="I154" s="317">
        <f t="shared" si="20"/>
        <v>0</v>
      </c>
      <c r="J154" s="162">
        <f t="shared" si="15"/>
        <v>0</v>
      </c>
      <c r="K154" s="162"/>
      <c r="L154" s="336"/>
      <c r="M154" s="173">
        <f t="shared" si="24"/>
        <v>0</v>
      </c>
      <c r="N154" s="336"/>
      <c r="O154" s="173">
        <f t="shared" si="25"/>
        <v>0</v>
      </c>
      <c r="P154" s="173">
        <f t="shared" si="26"/>
        <v>0</v>
      </c>
    </row>
    <row r="155" spans="2:16">
      <c r="C155" s="158" t="s">
        <v>72</v>
      </c>
      <c r="D155" s="115"/>
      <c r="E155" s="115">
        <f>SUM(E99:E154)</f>
        <v>2246628.5699999998</v>
      </c>
      <c r="F155" s="115"/>
      <c r="G155" s="115"/>
      <c r="H155" s="115">
        <f>SUM(H99:H154)</f>
        <v>7454997.7894692272</v>
      </c>
      <c r="I155" s="115">
        <f>SUM(I99:I154)</f>
        <v>7454997.7894692272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conditionalFormatting sqref="C17:C72">
    <cfRule type="cellIs" dxfId="29" priority="1" stopIfTrue="1" operator="equal">
      <formula>$I$10</formula>
    </cfRule>
  </conditionalFormatting>
  <conditionalFormatting sqref="C99:C154">
    <cfRule type="cellIs" dxfId="28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/>
  <dimension ref="A1:P162"/>
  <sheetViews>
    <sheetView view="pageBreakPreview" topLeftCell="A76" zoomScale="80" zoomScaleNormal="100" zoomScaleSheetLayoutView="80" workbookViewId="0">
      <selection activeCell="J18" sqref="J18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"&amp;RIGHT(MID(CELL("filename",$A$1),FIND("]",CELL("filename",$A$1))+1,256),2)&amp;" of "&amp;COUNT('P.001:P.xyz - blank'!$P$3)-1</f>
        <v>PSO Project 16 of 28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275</v>
      </c>
      <c r="L5" s="119"/>
      <c r="M5" s="120"/>
      <c r="N5" s="121">
        <f>VLOOKUP(I10,C17:I72,5)</f>
        <v>602674.25524940272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276</v>
      </c>
      <c r="L6" s="125"/>
      <c r="M6" s="4"/>
      <c r="N6" s="126">
        <f>VLOOKUP(I10,C17:I72,6)</f>
        <v>602674.25524940272</v>
      </c>
      <c r="O6" s="1"/>
      <c r="P6" s="1"/>
    </row>
    <row r="7" spans="1:16" ht="13.5" thickBot="1">
      <c r="C7" s="127" t="s">
        <v>41</v>
      </c>
      <c r="D7" s="425" t="s">
        <v>245</v>
      </c>
      <c r="E7" s="405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 t="str">
        <f>IF(D10&lt;100000,"DOES NOT MEET SPP $100,000 MINIMUM INVESTMENT FOR REGIONAL BPU SHARING.","")</f>
        <v/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43</v>
      </c>
      <c r="D9" s="229" t="s">
        <v>244</v>
      </c>
      <c r="E9" s="427" t="s">
        <v>252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5059278</v>
      </c>
      <c r="E10" s="64" t="s">
        <v>46</v>
      </c>
      <c r="F10" s="137"/>
      <c r="G10" s="139"/>
      <c r="H10" s="139"/>
      <c r="I10" s="140">
        <f>+PSO.WS.F.BPU.ATRR.Projected!L19</f>
        <v>2020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2014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12</v>
      </c>
      <c r="E12" s="141" t="s">
        <v>51</v>
      </c>
      <c r="F12" s="139"/>
      <c r="G12" s="7"/>
      <c r="H12" s="7"/>
      <c r="I12" s="145">
        <f>PSO.WS.F.BPU.ATRR.Projected!$F$81</f>
        <v>0.10800477690995318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42</v>
      </c>
      <c r="E13" s="141" t="s">
        <v>54</v>
      </c>
      <c r="F13" s="139"/>
      <c r="G13" s="7"/>
      <c r="H13" s="7"/>
      <c r="I13" s="145">
        <f>IF(G5="",I12,PSO.WS.F.BPU.ATRR.Projected!$F$80)</f>
        <v>0.10800477690995318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120459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277</v>
      </c>
      <c r="H15" s="362" t="s">
        <v>278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2014</v>
      </c>
      <c r="D17" s="435">
        <v>5300000</v>
      </c>
      <c r="E17" s="440">
        <v>0</v>
      </c>
      <c r="F17" s="435">
        <v>5300000</v>
      </c>
      <c r="G17" s="440">
        <v>729591.46876123699</v>
      </c>
      <c r="H17" s="438">
        <v>729591.46876123699</v>
      </c>
      <c r="I17" s="160">
        <v>0</v>
      </c>
      <c r="J17" s="160"/>
      <c r="K17" s="338">
        <f t="shared" ref="K17:K22" si="0">G17</f>
        <v>729591.46876123699</v>
      </c>
      <c r="L17" s="439">
        <f t="shared" ref="L17:L22" si="1">IF(K17&lt;&gt;0,+G17-K17,0)</f>
        <v>0</v>
      </c>
      <c r="M17" s="338">
        <f t="shared" ref="M17:M22" si="2">H17</f>
        <v>729591.46876123699</v>
      </c>
      <c r="N17" s="162">
        <f t="shared" ref="N17:N22" si="3">IF(M17&lt;&gt;0,+H17-M17,0)</f>
        <v>0</v>
      </c>
      <c r="O17" s="160">
        <f t="shared" ref="O17:O22" si="4">+N17-L17</f>
        <v>0</v>
      </c>
      <c r="P17" s="4"/>
    </row>
    <row r="18" spans="2:16">
      <c r="B18" s="9" t="str">
        <f>IF(D18=F17,"","IU")</f>
        <v/>
      </c>
      <c r="C18" s="157">
        <f>IF(D11="","-",+C17+1)</f>
        <v>2015</v>
      </c>
      <c r="D18" s="435">
        <v>5300000</v>
      </c>
      <c r="E18" s="436">
        <v>101923.07692307692</v>
      </c>
      <c r="F18" s="435">
        <v>5198076.923076923</v>
      </c>
      <c r="G18" s="436">
        <v>818590.55430690572</v>
      </c>
      <c r="H18" s="438">
        <v>818590.55430690572</v>
      </c>
      <c r="I18" s="160">
        <v>0</v>
      </c>
      <c r="J18" s="160"/>
      <c r="K18" s="338">
        <f t="shared" si="0"/>
        <v>818590.55430690572</v>
      </c>
      <c r="L18" s="439">
        <f t="shared" si="1"/>
        <v>0</v>
      </c>
      <c r="M18" s="338">
        <f t="shared" si="2"/>
        <v>818590.55430690572</v>
      </c>
      <c r="N18" s="162">
        <f t="shared" si="3"/>
        <v>0</v>
      </c>
      <c r="O18" s="160">
        <f t="shared" si="4"/>
        <v>0</v>
      </c>
      <c r="P18" s="4"/>
    </row>
    <row r="19" spans="2:16">
      <c r="B19" s="9" t="str">
        <f>IF(D19=F18,"","IU")</f>
        <v>IU</v>
      </c>
      <c r="C19" s="157">
        <f>IF(D11="","-",+C18+1)</f>
        <v>2016</v>
      </c>
      <c r="D19" s="435">
        <v>4969414.923076923</v>
      </c>
      <c r="E19" s="436">
        <v>97525.730769230766</v>
      </c>
      <c r="F19" s="435">
        <v>4871889.192307692</v>
      </c>
      <c r="G19" s="436">
        <v>736520.73076923075</v>
      </c>
      <c r="H19" s="438">
        <v>736520.73076923075</v>
      </c>
      <c r="I19" s="160">
        <f>H19-G19</f>
        <v>0</v>
      </c>
      <c r="J19" s="160"/>
      <c r="K19" s="338">
        <f t="shared" si="0"/>
        <v>736520.73076923075</v>
      </c>
      <c r="L19" s="439">
        <f t="shared" si="1"/>
        <v>0</v>
      </c>
      <c r="M19" s="338">
        <f t="shared" si="2"/>
        <v>736520.73076923075</v>
      </c>
      <c r="N19" s="162">
        <f t="shared" si="3"/>
        <v>0</v>
      </c>
      <c r="O19" s="160">
        <f t="shared" si="4"/>
        <v>0</v>
      </c>
      <c r="P19" s="4"/>
    </row>
    <row r="20" spans="2:16">
      <c r="B20" s="9" t="str">
        <f t="shared" ref="B20:B72" si="5">IF(D20=F19,"","IU")</f>
        <v>IU</v>
      </c>
      <c r="C20" s="157">
        <f>IF(D11="","-",+C19+1)</f>
        <v>2017</v>
      </c>
      <c r="D20" s="435">
        <v>4859829.192307692</v>
      </c>
      <c r="E20" s="436">
        <v>109984.30434782608</v>
      </c>
      <c r="F20" s="435">
        <v>4749844.8879598659</v>
      </c>
      <c r="G20" s="436">
        <v>714452.30434782605</v>
      </c>
      <c r="H20" s="438">
        <v>714452.30434782605</v>
      </c>
      <c r="I20" s="160">
        <v>0</v>
      </c>
      <c r="J20" s="160"/>
      <c r="K20" s="338">
        <f t="shared" si="0"/>
        <v>714452.30434782605</v>
      </c>
      <c r="L20" s="439">
        <f t="shared" si="1"/>
        <v>0</v>
      </c>
      <c r="M20" s="338">
        <f t="shared" si="2"/>
        <v>714452.30434782605</v>
      </c>
      <c r="N20" s="162">
        <f t="shared" si="3"/>
        <v>0</v>
      </c>
      <c r="O20" s="160">
        <f t="shared" si="4"/>
        <v>0</v>
      </c>
      <c r="P20" s="4"/>
    </row>
    <row r="21" spans="2:16">
      <c r="B21" s="9" t="str">
        <f t="shared" si="5"/>
        <v/>
      </c>
      <c r="C21" s="157">
        <f>IF(D11="","-",+C20+1)</f>
        <v>2018</v>
      </c>
      <c r="D21" s="435">
        <v>4749844.8879598659</v>
      </c>
      <c r="E21" s="436">
        <v>112428.4</v>
      </c>
      <c r="F21" s="435">
        <v>4637416.4879598655</v>
      </c>
      <c r="G21" s="436">
        <v>740035.4</v>
      </c>
      <c r="H21" s="438">
        <v>740035.4</v>
      </c>
      <c r="I21" s="160">
        <f t="shared" ref="I21:I72" si="6">H21-G21</f>
        <v>0</v>
      </c>
      <c r="J21" s="160"/>
      <c r="K21" s="338">
        <f t="shared" si="0"/>
        <v>740035.4</v>
      </c>
      <c r="L21" s="439">
        <f t="shared" si="1"/>
        <v>0</v>
      </c>
      <c r="M21" s="338">
        <f t="shared" si="2"/>
        <v>740035.4</v>
      </c>
      <c r="N21" s="162">
        <f t="shared" si="3"/>
        <v>0</v>
      </c>
      <c r="O21" s="160">
        <f t="shared" si="4"/>
        <v>0</v>
      </c>
      <c r="P21" s="4"/>
    </row>
    <row r="22" spans="2:16">
      <c r="B22" s="9" t="str">
        <f t="shared" si="5"/>
        <v/>
      </c>
      <c r="C22" s="157">
        <f>IF(D11="","-",+C21+1)</f>
        <v>2019</v>
      </c>
      <c r="D22" s="435">
        <v>4637416.4879598655</v>
      </c>
      <c r="E22" s="436">
        <v>112428.4</v>
      </c>
      <c r="F22" s="435">
        <v>4524988.0879598651</v>
      </c>
      <c r="G22" s="436">
        <v>724819.4</v>
      </c>
      <c r="H22" s="438">
        <v>724819.4</v>
      </c>
      <c r="I22" s="160">
        <f t="shared" si="6"/>
        <v>0</v>
      </c>
      <c r="J22" s="160"/>
      <c r="K22" s="338">
        <f t="shared" si="0"/>
        <v>724819.4</v>
      </c>
      <c r="L22" s="439">
        <f t="shared" si="1"/>
        <v>0</v>
      </c>
      <c r="M22" s="338">
        <f t="shared" si="2"/>
        <v>724819.4</v>
      </c>
      <c r="N22" s="162">
        <f t="shared" si="3"/>
        <v>0</v>
      </c>
      <c r="O22" s="160">
        <f t="shared" si="4"/>
        <v>0</v>
      </c>
      <c r="P22" s="4"/>
    </row>
    <row r="23" spans="2:16">
      <c r="B23" s="9" t="str">
        <f t="shared" si="5"/>
        <v/>
      </c>
      <c r="C23" s="157">
        <f>IF(D11="","-",+C22+1)</f>
        <v>2020</v>
      </c>
      <c r="D23" s="163">
        <f>IF(F22+SUM(E$17:E22)=D$10,F22,D$10-SUM(E$17:E22))</f>
        <v>4524988.0879598651</v>
      </c>
      <c r="E23" s="164">
        <f t="shared" ref="E23:E72" si="7">IF(+$I$14&lt;F22,$I$14,D23)</f>
        <v>120459</v>
      </c>
      <c r="F23" s="163">
        <f t="shared" ref="F23:F72" si="8">+D23-E23</f>
        <v>4404529.0879598651</v>
      </c>
      <c r="G23" s="165">
        <f t="shared" ref="G23:G72" si="9">(D23+F23)/2*I$12+E23</f>
        <v>602674.25524940272</v>
      </c>
      <c r="H23" s="147">
        <f t="shared" ref="H23:H72" si="10">+(D23+F23)/2*I$13+E23</f>
        <v>602674.25524940272</v>
      </c>
      <c r="I23" s="160">
        <f t="shared" si="6"/>
        <v>0</v>
      </c>
      <c r="J23" s="160"/>
      <c r="K23" s="335"/>
      <c r="L23" s="162">
        <f t="shared" ref="L23:L72" si="11">IF(K23&lt;&gt;0,+G23-K23,0)</f>
        <v>0</v>
      </c>
      <c r="M23" s="335"/>
      <c r="N23" s="162">
        <f t="shared" ref="N23:N72" si="12">IF(M23&lt;&gt;0,+H23-M23,0)</f>
        <v>0</v>
      </c>
      <c r="O23" s="162">
        <f t="shared" ref="O23:O72" si="13">+N23-L23</f>
        <v>0</v>
      </c>
      <c r="P23" s="4"/>
    </row>
    <row r="24" spans="2:16">
      <c r="B24" s="9" t="str">
        <f t="shared" si="5"/>
        <v/>
      </c>
      <c r="C24" s="157">
        <f>IF(D11="","-",+C23+1)</f>
        <v>2021</v>
      </c>
      <c r="D24" s="163">
        <f>IF(F23+SUM(E$17:E23)=D$10,F23,D$10-SUM(E$17:E23))</f>
        <v>4404529.0879598651</v>
      </c>
      <c r="E24" s="164">
        <f t="shared" si="7"/>
        <v>120459</v>
      </c>
      <c r="F24" s="163">
        <f t="shared" si="8"/>
        <v>4284070.0879598651</v>
      </c>
      <c r="G24" s="165">
        <f t="shared" si="9"/>
        <v>589664.10782760673</v>
      </c>
      <c r="H24" s="147">
        <f t="shared" si="10"/>
        <v>589664.10782760673</v>
      </c>
      <c r="I24" s="160">
        <f t="shared" si="6"/>
        <v>0</v>
      </c>
      <c r="J24" s="160"/>
      <c r="K24" s="335"/>
      <c r="L24" s="162">
        <f t="shared" si="11"/>
        <v>0</v>
      </c>
      <c r="M24" s="335"/>
      <c r="N24" s="162">
        <f t="shared" si="12"/>
        <v>0</v>
      </c>
      <c r="O24" s="162">
        <f t="shared" si="13"/>
        <v>0</v>
      </c>
      <c r="P24" s="4"/>
    </row>
    <row r="25" spans="2:16">
      <c r="B25" s="9" t="str">
        <f t="shared" si="5"/>
        <v/>
      </c>
      <c r="C25" s="157">
        <f>IF(D11="","-",+C24+1)</f>
        <v>2022</v>
      </c>
      <c r="D25" s="163">
        <f>IF(F24+SUM(E$17:E24)=D$10,F24,D$10-SUM(E$17:E24))</f>
        <v>4284070.0879598651</v>
      </c>
      <c r="E25" s="164">
        <f t="shared" si="7"/>
        <v>120459</v>
      </c>
      <c r="F25" s="163">
        <f t="shared" si="8"/>
        <v>4163611.0879598651</v>
      </c>
      <c r="G25" s="165">
        <f t="shared" si="9"/>
        <v>576653.96040581074</v>
      </c>
      <c r="H25" s="147">
        <f t="shared" si="10"/>
        <v>576653.96040581074</v>
      </c>
      <c r="I25" s="160">
        <f t="shared" si="6"/>
        <v>0</v>
      </c>
      <c r="J25" s="160"/>
      <c r="K25" s="335"/>
      <c r="L25" s="162">
        <f t="shared" si="11"/>
        <v>0</v>
      </c>
      <c r="M25" s="335"/>
      <c r="N25" s="162">
        <f t="shared" si="12"/>
        <v>0</v>
      </c>
      <c r="O25" s="162">
        <f t="shared" si="13"/>
        <v>0</v>
      </c>
      <c r="P25" s="4"/>
    </row>
    <row r="26" spans="2:16">
      <c r="B26" s="9" t="str">
        <f t="shared" si="5"/>
        <v/>
      </c>
      <c r="C26" s="157">
        <f>IF(D11="","-",+C25+1)</f>
        <v>2023</v>
      </c>
      <c r="D26" s="163">
        <f>IF(F25+SUM(E$17:E25)=D$10,F25,D$10-SUM(E$17:E25))</f>
        <v>4163611.0879598651</v>
      </c>
      <c r="E26" s="164">
        <f t="shared" si="7"/>
        <v>120459</v>
      </c>
      <c r="F26" s="163">
        <f t="shared" si="8"/>
        <v>4043152.0879598651</v>
      </c>
      <c r="G26" s="165">
        <f t="shared" si="9"/>
        <v>563643.81298401463</v>
      </c>
      <c r="H26" s="147">
        <f t="shared" si="10"/>
        <v>563643.81298401463</v>
      </c>
      <c r="I26" s="160">
        <f t="shared" si="6"/>
        <v>0</v>
      </c>
      <c r="J26" s="160"/>
      <c r="K26" s="335"/>
      <c r="L26" s="162">
        <f t="shared" si="11"/>
        <v>0</v>
      </c>
      <c r="M26" s="335"/>
      <c r="N26" s="162">
        <f t="shared" si="12"/>
        <v>0</v>
      </c>
      <c r="O26" s="162">
        <f t="shared" si="13"/>
        <v>0</v>
      </c>
      <c r="P26" s="4"/>
    </row>
    <row r="27" spans="2:16">
      <c r="B27" s="9" t="str">
        <f t="shared" si="5"/>
        <v/>
      </c>
      <c r="C27" s="157">
        <f>IF(D11="","-",+C26+1)</f>
        <v>2024</v>
      </c>
      <c r="D27" s="163">
        <f>IF(F26+SUM(E$17:E26)=D$10,F26,D$10-SUM(E$17:E26))</f>
        <v>4043152.0879598651</v>
      </c>
      <c r="E27" s="164">
        <f t="shared" si="7"/>
        <v>120459</v>
      </c>
      <c r="F27" s="163">
        <f t="shared" si="8"/>
        <v>3922693.0879598651</v>
      </c>
      <c r="G27" s="165">
        <f t="shared" si="9"/>
        <v>550633.66556221852</v>
      </c>
      <c r="H27" s="147">
        <f t="shared" si="10"/>
        <v>550633.66556221852</v>
      </c>
      <c r="I27" s="160">
        <f t="shared" si="6"/>
        <v>0</v>
      </c>
      <c r="J27" s="160"/>
      <c r="K27" s="335"/>
      <c r="L27" s="162">
        <f t="shared" si="11"/>
        <v>0</v>
      </c>
      <c r="M27" s="335"/>
      <c r="N27" s="162">
        <f t="shared" si="12"/>
        <v>0</v>
      </c>
      <c r="O27" s="162">
        <f t="shared" si="13"/>
        <v>0</v>
      </c>
      <c r="P27" s="4"/>
    </row>
    <row r="28" spans="2:16">
      <c r="B28" s="9" t="str">
        <f t="shared" si="5"/>
        <v/>
      </c>
      <c r="C28" s="157">
        <f>IF(D11="","-",+C27+1)</f>
        <v>2025</v>
      </c>
      <c r="D28" s="163">
        <f>IF(F27+SUM(E$17:E27)=D$10,F27,D$10-SUM(E$17:E27))</f>
        <v>3922693.0879598651</v>
      </c>
      <c r="E28" s="164">
        <f t="shared" si="7"/>
        <v>120459</v>
      </c>
      <c r="F28" s="163">
        <f t="shared" si="8"/>
        <v>3802234.0879598651</v>
      </c>
      <c r="G28" s="165">
        <f t="shared" si="9"/>
        <v>537623.51814042253</v>
      </c>
      <c r="H28" s="147">
        <f t="shared" si="10"/>
        <v>537623.51814042253</v>
      </c>
      <c r="I28" s="160">
        <f t="shared" si="6"/>
        <v>0</v>
      </c>
      <c r="J28" s="160"/>
      <c r="K28" s="335"/>
      <c r="L28" s="162">
        <f t="shared" si="11"/>
        <v>0</v>
      </c>
      <c r="M28" s="335"/>
      <c r="N28" s="162">
        <f t="shared" si="12"/>
        <v>0</v>
      </c>
      <c r="O28" s="162">
        <f t="shared" si="13"/>
        <v>0</v>
      </c>
      <c r="P28" s="4"/>
    </row>
    <row r="29" spans="2:16">
      <c r="B29" s="9" t="str">
        <f t="shared" si="5"/>
        <v/>
      </c>
      <c r="C29" s="157">
        <f>IF(D11="","-",+C28+1)</f>
        <v>2026</v>
      </c>
      <c r="D29" s="163">
        <f>IF(F28+SUM(E$17:E28)=D$10,F28,D$10-SUM(E$17:E28))</f>
        <v>3802234.0879598651</v>
      </c>
      <c r="E29" s="164">
        <f t="shared" si="7"/>
        <v>120459</v>
      </c>
      <c r="F29" s="163">
        <f t="shared" si="8"/>
        <v>3681775.0879598651</v>
      </c>
      <c r="G29" s="165">
        <f t="shared" si="9"/>
        <v>524613.37071862654</v>
      </c>
      <c r="H29" s="147">
        <f t="shared" si="10"/>
        <v>524613.37071862654</v>
      </c>
      <c r="I29" s="160">
        <f t="shared" si="6"/>
        <v>0</v>
      </c>
      <c r="J29" s="160"/>
      <c r="K29" s="335"/>
      <c r="L29" s="162">
        <f t="shared" si="11"/>
        <v>0</v>
      </c>
      <c r="M29" s="335"/>
      <c r="N29" s="162">
        <f t="shared" si="12"/>
        <v>0</v>
      </c>
      <c r="O29" s="162">
        <f t="shared" si="13"/>
        <v>0</v>
      </c>
      <c r="P29" s="4"/>
    </row>
    <row r="30" spans="2:16">
      <c r="B30" s="9" t="str">
        <f t="shared" si="5"/>
        <v/>
      </c>
      <c r="C30" s="157">
        <f>IF(D11="","-",+C29+1)</f>
        <v>2027</v>
      </c>
      <c r="D30" s="163">
        <f>IF(F29+SUM(E$17:E29)=D$10,F29,D$10-SUM(E$17:E29))</f>
        <v>3681775.0879598651</v>
      </c>
      <c r="E30" s="164">
        <f t="shared" si="7"/>
        <v>120459</v>
      </c>
      <c r="F30" s="163">
        <f t="shared" si="8"/>
        <v>3561316.0879598651</v>
      </c>
      <c r="G30" s="165">
        <f t="shared" si="9"/>
        <v>511603.22329683043</v>
      </c>
      <c r="H30" s="147">
        <f t="shared" si="10"/>
        <v>511603.22329683043</v>
      </c>
      <c r="I30" s="160">
        <f t="shared" si="6"/>
        <v>0</v>
      </c>
      <c r="J30" s="160"/>
      <c r="K30" s="335"/>
      <c r="L30" s="162">
        <f t="shared" si="11"/>
        <v>0</v>
      </c>
      <c r="M30" s="335"/>
      <c r="N30" s="162">
        <f t="shared" si="12"/>
        <v>0</v>
      </c>
      <c r="O30" s="162">
        <f t="shared" si="13"/>
        <v>0</v>
      </c>
      <c r="P30" s="4"/>
    </row>
    <row r="31" spans="2:16">
      <c r="B31" s="9" t="str">
        <f t="shared" si="5"/>
        <v/>
      </c>
      <c r="C31" s="157">
        <f>IF(D11="","-",+C30+1)</f>
        <v>2028</v>
      </c>
      <c r="D31" s="163">
        <f>IF(F30+SUM(E$17:E30)=D$10,F30,D$10-SUM(E$17:E30))</f>
        <v>3561316.0879598651</v>
      </c>
      <c r="E31" s="164">
        <f t="shared" si="7"/>
        <v>120459</v>
      </c>
      <c r="F31" s="163">
        <f t="shared" si="8"/>
        <v>3440857.0879598651</v>
      </c>
      <c r="G31" s="165">
        <f t="shared" si="9"/>
        <v>498593.07587503438</v>
      </c>
      <c r="H31" s="147">
        <f t="shared" si="10"/>
        <v>498593.07587503438</v>
      </c>
      <c r="I31" s="160">
        <f t="shared" si="6"/>
        <v>0</v>
      </c>
      <c r="J31" s="160"/>
      <c r="K31" s="335"/>
      <c r="L31" s="162">
        <f t="shared" si="11"/>
        <v>0</v>
      </c>
      <c r="M31" s="335"/>
      <c r="N31" s="162">
        <f t="shared" si="12"/>
        <v>0</v>
      </c>
      <c r="O31" s="162">
        <f t="shared" si="13"/>
        <v>0</v>
      </c>
      <c r="P31" s="4"/>
    </row>
    <row r="32" spans="2:16">
      <c r="B32" s="9" t="str">
        <f t="shared" si="5"/>
        <v/>
      </c>
      <c r="C32" s="157">
        <f>IF(D11="","-",+C31+1)</f>
        <v>2029</v>
      </c>
      <c r="D32" s="163">
        <f>IF(F31+SUM(E$17:E31)=D$10,F31,D$10-SUM(E$17:E31))</f>
        <v>3440857.0879598651</v>
      </c>
      <c r="E32" s="164">
        <f t="shared" si="7"/>
        <v>120459</v>
      </c>
      <c r="F32" s="163">
        <f t="shared" si="8"/>
        <v>3320398.0879598651</v>
      </c>
      <c r="G32" s="165">
        <f t="shared" si="9"/>
        <v>485582.92845323833</v>
      </c>
      <c r="H32" s="147">
        <f t="shared" si="10"/>
        <v>485582.92845323833</v>
      </c>
      <c r="I32" s="160">
        <f t="shared" si="6"/>
        <v>0</v>
      </c>
      <c r="J32" s="160"/>
      <c r="K32" s="335"/>
      <c r="L32" s="162">
        <f t="shared" si="11"/>
        <v>0</v>
      </c>
      <c r="M32" s="335"/>
      <c r="N32" s="162">
        <f t="shared" si="12"/>
        <v>0</v>
      </c>
      <c r="O32" s="162">
        <f t="shared" si="13"/>
        <v>0</v>
      </c>
      <c r="P32" s="4"/>
    </row>
    <row r="33" spans="2:16">
      <c r="B33" s="9" t="str">
        <f t="shared" si="5"/>
        <v/>
      </c>
      <c r="C33" s="157">
        <f>IF(D11="","-",+C32+1)</f>
        <v>2030</v>
      </c>
      <c r="D33" s="163">
        <f>IF(F32+SUM(E$17:E32)=D$10,F32,D$10-SUM(E$17:E32))</f>
        <v>3320398.0879598651</v>
      </c>
      <c r="E33" s="164">
        <f t="shared" si="7"/>
        <v>120459</v>
      </c>
      <c r="F33" s="163">
        <f t="shared" si="8"/>
        <v>3199939.0879598651</v>
      </c>
      <c r="G33" s="165">
        <f t="shared" si="9"/>
        <v>472572.78103144228</v>
      </c>
      <c r="H33" s="147">
        <f t="shared" si="10"/>
        <v>472572.78103144228</v>
      </c>
      <c r="I33" s="160">
        <f t="shared" si="6"/>
        <v>0</v>
      </c>
      <c r="J33" s="160"/>
      <c r="K33" s="335"/>
      <c r="L33" s="162">
        <f t="shared" si="11"/>
        <v>0</v>
      </c>
      <c r="M33" s="335"/>
      <c r="N33" s="162">
        <f t="shared" si="12"/>
        <v>0</v>
      </c>
      <c r="O33" s="162">
        <f t="shared" si="13"/>
        <v>0</v>
      </c>
      <c r="P33" s="4"/>
    </row>
    <row r="34" spans="2:16">
      <c r="B34" s="9" t="str">
        <f t="shared" si="5"/>
        <v/>
      </c>
      <c r="C34" s="157">
        <f>IF(D11="","-",+C33+1)</f>
        <v>2031</v>
      </c>
      <c r="D34" s="163">
        <f>IF(F33+SUM(E$17:E33)=D$10,F33,D$10-SUM(E$17:E33))</f>
        <v>3199939.0879598651</v>
      </c>
      <c r="E34" s="164">
        <f t="shared" si="7"/>
        <v>120459</v>
      </c>
      <c r="F34" s="163">
        <f t="shared" si="8"/>
        <v>3079480.0879598651</v>
      </c>
      <c r="G34" s="165">
        <f t="shared" si="9"/>
        <v>459562.63360964623</v>
      </c>
      <c r="H34" s="147">
        <f t="shared" si="10"/>
        <v>459562.63360964623</v>
      </c>
      <c r="I34" s="160">
        <f t="shared" si="6"/>
        <v>0</v>
      </c>
      <c r="J34" s="160"/>
      <c r="K34" s="335"/>
      <c r="L34" s="162">
        <f t="shared" si="11"/>
        <v>0</v>
      </c>
      <c r="M34" s="335"/>
      <c r="N34" s="162">
        <f t="shared" si="12"/>
        <v>0</v>
      </c>
      <c r="O34" s="162">
        <f t="shared" si="13"/>
        <v>0</v>
      </c>
      <c r="P34" s="4"/>
    </row>
    <row r="35" spans="2:16">
      <c r="B35" s="9" t="str">
        <f t="shared" si="5"/>
        <v/>
      </c>
      <c r="C35" s="157">
        <f>IF(D11="","-",+C34+1)</f>
        <v>2032</v>
      </c>
      <c r="D35" s="163">
        <f>IF(F34+SUM(E$17:E34)=D$10,F34,D$10-SUM(E$17:E34))</f>
        <v>3079480.0879598651</v>
      </c>
      <c r="E35" s="164">
        <f t="shared" si="7"/>
        <v>120459</v>
      </c>
      <c r="F35" s="163">
        <f t="shared" si="8"/>
        <v>2959021.0879598651</v>
      </c>
      <c r="G35" s="165">
        <f t="shared" si="9"/>
        <v>446552.48618785018</v>
      </c>
      <c r="H35" s="147">
        <f t="shared" si="10"/>
        <v>446552.48618785018</v>
      </c>
      <c r="I35" s="160">
        <f t="shared" si="6"/>
        <v>0</v>
      </c>
      <c r="J35" s="160"/>
      <c r="K35" s="335"/>
      <c r="L35" s="162">
        <f t="shared" si="11"/>
        <v>0</v>
      </c>
      <c r="M35" s="335"/>
      <c r="N35" s="162">
        <f t="shared" si="12"/>
        <v>0</v>
      </c>
      <c r="O35" s="162">
        <f t="shared" si="13"/>
        <v>0</v>
      </c>
      <c r="P35" s="4"/>
    </row>
    <row r="36" spans="2:16">
      <c r="B36" s="9" t="str">
        <f t="shared" si="5"/>
        <v/>
      </c>
      <c r="C36" s="157">
        <f>IF(D11="","-",+C35+1)</f>
        <v>2033</v>
      </c>
      <c r="D36" s="163">
        <f>IF(F35+SUM(E$17:E35)=D$10,F35,D$10-SUM(E$17:E35))</f>
        <v>2959021.0879598651</v>
      </c>
      <c r="E36" s="164">
        <f t="shared" si="7"/>
        <v>120459</v>
      </c>
      <c r="F36" s="163">
        <f t="shared" si="8"/>
        <v>2838562.0879598651</v>
      </c>
      <c r="G36" s="165">
        <f t="shared" si="9"/>
        <v>433542.33876605413</v>
      </c>
      <c r="H36" s="147">
        <f t="shared" si="10"/>
        <v>433542.33876605413</v>
      </c>
      <c r="I36" s="160">
        <f t="shared" si="6"/>
        <v>0</v>
      </c>
      <c r="J36" s="160"/>
      <c r="K36" s="335"/>
      <c r="L36" s="162">
        <f t="shared" si="11"/>
        <v>0</v>
      </c>
      <c r="M36" s="335"/>
      <c r="N36" s="162">
        <f t="shared" si="12"/>
        <v>0</v>
      </c>
      <c r="O36" s="162">
        <f t="shared" si="13"/>
        <v>0</v>
      </c>
      <c r="P36" s="4"/>
    </row>
    <row r="37" spans="2:16">
      <c r="B37" s="9" t="str">
        <f t="shared" si="5"/>
        <v/>
      </c>
      <c r="C37" s="157">
        <f>IF(D11="","-",+C36+1)</f>
        <v>2034</v>
      </c>
      <c r="D37" s="163">
        <f>IF(F36+SUM(E$17:E36)=D$10,F36,D$10-SUM(E$17:E36))</f>
        <v>2838562.0879598651</v>
      </c>
      <c r="E37" s="164">
        <f t="shared" si="7"/>
        <v>120459</v>
      </c>
      <c r="F37" s="163">
        <f t="shared" si="8"/>
        <v>2718103.0879598651</v>
      </c>
      <c r="G37" s="165">
        <f t="shared" si="9"/>
        <v>420532.19134425808</v>
      </c>
      <c r="H37" s="147">
        <f t="shared" si="10"/>
        <v>420532.19134425808</v>
      </c>
      <c r="I37" s="160">
        <f t="shared" si="6"/>
        <v>0</v>
      </c>
      <c r="J37" s="160"/>
      <c r="K37" s="335"/>
      <c r="L37" s="162">
        <f t="shared" si="11"/>
        <v>0</v>
      </c>
      <c r="M37" s="335"/>
      <c r="N37" s="162">
        <f t="shared" si="12"/>
        <v>0</v>
      </c>
      <c r="O37" s="162">
        <f t="shared" si="13"/>
        <v>0</v>
      </c>
      <c r="P37" s="4"/>
    </row>
    <row r="38" spans="2:16">
      <c r="B38" s="9" t="str">
        <f t="shared" si="5"/>
        <v/>
      </c>
      <c r="C38" s="157">
        <f>IF(D11="","-",+C37+1)</f>
        <v>2035</v>
      </c>
      <c r="D38" s="163">
        <f>IF(F37+SUM(E$17:E37)=D$10,F37,D$10-SUM(E$17:E37))</f>
        <v>2718103.0879598651</v>
      </c>
      <c r="E38" s="164">
        <f t="shared" si="7"/>
        <v>120459</v>
      </c>
      <c r="F38" s="163">
        <f t="shared" si="8"/>
        <v>2597644.0879598651</v>
      </c>
      <c r="G38" s="165">
        <f t="shared" si="9"/>
        <v>407522.04392246203</v>
      </c>
      <c r="H38" s="147">
        <f t="shared" si="10"/>
        <v>407522.04392246203</v>
      </c>
      <c r="I38" s="160">
        <f t="shared" si="6"/>
        <v>0</v>
      </c>
      <c r="J38" s="160"/>
      <c r="K38" s="335"/>
      <c r="L38" s="162">
        <f t="shared" si="11"/>
        <v>0</v>
      </c>
      <c r="M38" s="335"/>
      <c r="N38" s="162">
        <f t="shared" si="12"/>
        <v>0</v>
      </c>
      <c r="O38" s="162">
        <f t="shared" si="13"/>
        <v>0</v>
      </c>
      <c r="P38" s="4"/>
    </row>
    <row r="39" spans="2:16">
      <c r="B39" s="9" t="str">
        <f t="shared" si="5"/>
        <v/>
      </c>
      <c r="C39" s="157">
        <f>IF(D11="","-",+C38+1)</f>
        <v>2036</v>
      </c>
      <c r="D39" s="163">
        <f>IF(F38+SUM(E$17:E38)=D$10,F38,D$10-SUM(E$17:E38))</f>
        <v>2597644.0879598651</v>
      </c>
      <c r="E39" s="164">
        <f t="shared" si="7"/>
        <v>120459</v>
      </c>
      <c r="F39" s="163">
        <f t="shared" si="8"/>
        <v>2477185.0879598651</v>
      </c>
      <c r="G39" s="165">
        <f t="shared" si="9"/>
        <v>394511.89650066599</v>
      </c>
      <c r="H39" s="147">
        <f t="shared" si="10"/>
        <v>394511.89650066599</v>
      </c>
      <c r="I39" s="160">
        <f t="shared" si="6"/>
        <v>0</v>
      </c>
      <c r="J39" s="160"/>
      <c r="K39" s="335"/>
      <c r="L39" s="162">
        <f t="shared" si="11"/>
        <v>0</v>
      </c>
      <c r="M39" s="335"/>
      <c r="N39" s="162">
        <f t="shared" si="12"/>
        <v>0</v>
      </c>
      <c r="O39" s="162">
        <f t="shared" si="13"/>
        <v>0</v>
      </c>
      <c r="P39" s="4"/>
    </row>
    <row r="40" spans="2:16">
      <c r="B40" s="9" t="str">
        <f t="shared" si="5"/>
        <v/>
      </c>
      <c r="C40" s="157">
        <f>IF(D11="","-",+C39+1)</f>
        <v>2037</v>
      </c>
      <c r="D40" s="163">
        <f>IF(F39+SUM(E$17:E39)=D$10,F39,D$10-SUM(E$17:E39))</f>
        <v>2477185.0879598651</v>
      </c>
      <c r="E40" s="164">
        <f t="shared" si="7"/>
        <v>120459</v>
      </c>
      <c r="F40" s="163">
        <f t="shared" si="8"/>
        <v>2356726.0879598651</v>
      </c>
      <c r="G40" s="165">
        <f t="shared" si="9"/>
        <v>381501.74907886994</v>
      </c>
      <c r="H40" s="147">
        <f t="shared" si="10"/>
        <v>381501.74907886994</v>
      </c>
      <c r="I40" s="160">
        <f t="shared" si="6"/>
        <v>0</v>
      </c>
      <c r="J40" s="160"/>
      <c r="K40" s="335"/>
      <c r="L40" s="162">
        <f t="shared" si="11"/>
        <v>0</v>
      </c>
      <c r="M40" s="335"/>
      <c r="N40" s="162">
        <f t="shared" si="12"/>
        <v>0</v>
      </c>
      <c r="O40" s="162">
        <f t="shared" si="13"/>
        <v>0</v>
      </c>
      <c r="P40" s="4"/>
    </row>
    <row r="41" spans="2:16">
      <c r="B41" s="9" t="str">
        <f t="shared" si="5"/>
        <v/>
      </c>
      <c r="C41" s="157">
        <f>IF(D11="","-",+C40+1)</f>
        <v>2038</v>
      </c>
      <c r="D41" s="163">
        <f>IF(F40+SUM(E$17:E40)=D$10,F40,D$10-SUM(E$17:E40))</f>
        <v>2356726.0879598651</v>
      </c>
      <c r="E41" s="164">
        <f t="shared" si="7"/>
        <v>120459</v>
      </c>
      <c r="F41" s="163">
        <f t="shared" si="8"/>
        <v>2236267.0879598651</v>
      </c>
      <c r="G41" s="165">
        <f t="shared" si="9"/>
        <v>368491.60165707389</v>
      </c>
      <c r="H41" s="147">
        <f t="shared" si="10"/>
        <v>368491.60165707389</v>
      </c>
      <c r="I41" s="160">
        <f t="shared" si="6"/>
        <v>0</v>
      </c>
      <c r="J41" s="160"/>
      <c r="K41" s="335"/>
      <c r="L41" s="162">
        <f t="shared" si="11"/>
        <v>0</v>
      </c>
      <c r="M41" s="335"/>
      <c r="N41" s="162">
        <f t="shared" si="12"/>
        <v>0</v>
      </c>
      <c r="O41" s="162">
        <f t="shared" si="13"/>
        <v>0</v>
      </c>
      <c r="P41" s="4"/>
    </row>
    <row r="42" spans="2:16">
      <c r="B42" s="9" t="str">
        <f t="shared" si="5"/>
        <v/>
      </c>
      <c r="C42" s="157">
        <f>IF(D11="","-",+C41+1)</f>
        <v>2039</v>
      </c>
      <c r="D42" s="163">
        <f>IF(F41+SUM(E$17:E41)=D$10,F41,D$10-SUM(E$17:E41))</f>
        <v>2236267.0879598651</v>
      </c>
      <c r="E42" s="164">
        <f t="shared" si="7"/>
        <v>120459</v>
      </c>
      <c r="F42" s="163">
        <f t="shared" si="8"/>
        <v>2115808.0879598651</v>
      </c>
      <c r="G42" s="165">
        <f t="shared" si="9"/>
        <v>355481.45423527784</v>
      </c>
      <c r="H42" s="147">
        <f t="shared" si="10"/>
        <v>355481.45423527784</v>
      </c>
      <c r="I42" s="160">
        <f t="shared" si="6"/>
        <v>0</v>
      </c>
      <c r="J42" s="160"/>
      <c r="K42" s="335"/>
      <c r="L42" s="162">
        <f t="shared" si="11"/>
        <v>0</v>
      </c>
      <c r="M42" s="335"/>
      <c r="N42" s="162">
        <f t="shared" si="12"/>
        <v>0</v>
      </c>
      <c r="O42" s="162">
        <f t="shared" si="13"/>
        <v>0</v>
      </c>
      <c r="P42" s="4"/>
    </row>
    <row r="43" spans="2:16">
      <c r="B43" s="9" t="str">
        <f t="shared" si="5"/>
        <v/>
      </c>
      <c r="C43" s="157">
        <f>IF(D11="","-",+C42+1)</f>
        <v>2040</v>
      </c>
      <c r="D43" s="163">
        <f>IF(F42+SUM(E$17:E42)=D$10,F42,D$10-SUM(E$17:E42))</f>
        <v>2115808.0879598651</v>
      </c>
      <c r="E43" s="164">
        <f t="shared" si="7"/>
        <v>120459</v>
      </c>
      <c r="F43" s="163">
        <f t="shared" si="8"/>
        <v>1995349.0879598651</v>
      </c>
      <c r="G43" s="165">
        <f t="shared" si="9"/>
        <v>342471.30681348179</v>
      </c>
      <c r="H43" s="147">
        <f t="shared" si="10"/>
        <v>342471.30681348179</v>
      </c>
      <c r="I43" s="160">
        <f t="shared" si="6"/>
        <v>0</v>
      </c>
      <c r="J43" s="160"/>
      <c r="K43" s="335"/>
      <c r="L43" s="162">
        <f t="shared" si="11"/>
        <v>0</v>
      </c>
      <c r="M43" s="335"/>
      <c r="N43" s="162">
        <f t="shared" si="12"/>
        <v>0</v>
      </c>
      <c r="O43" s="162">
        <f t="shared" si="13"/>
        <v>0</v>
      </c>
      <c r="P43" s="4"/>
    </row>
    <row r="44" spans="2:16">
      <c r="B44" s="9" t="str">
        <f t="shared" si="5"/>
        <v/>
      </c>
      <c r="C44" s="157">
        <f>IF(D11="","-",+C43+1)</f>
        <v>2041</v>
      </c>
      <c r="D44" s="163">
        <f>IF(F43+SUM(E$17:E43)=D$10,F43,D$10-SUM(E$17:E43))</f>
        <v>1995349.0879598651</v>
      </c>
      <c r="E44" s="164">
        <f t="shared" si="7"/>
        <v>120459</v>
      </c>
      <c r="F44" s="163">
        <f t="shared" si="8"/>
        <v>1874890.0879598651</v>
      </c>
      <c r="G44" s="165">
        <f t="shared" si="9"/>
        <v>329461.15939168574</v>
      </c>
      <c r="H44" s="147">
        <f t="shared" si="10"/>
        <v>329461.15939168574</v>
      </c>
      <c r="I44" s="160">
        <f t="shared" si="6"/>
        <v>0</v>
      </c>
      <c r="J44" s="160"/>
      <c r="K44" s="335"/>
      <c r="L44" s="162">
        <f t="shared" si="11"/>
        <v>0</v>
      </c>
      <c r="M44" s="335"/>
      <c r="N44" s="162">
        <f t="shared" si="12"/>
        <v>0</v>
      </c>
      <c r="O44" s="162">
        <f t="shared" si="13"/>
        <v>0</v>
      </c>
      <c r="P44" s="4"/>
    </row>
    <row r="45" spans="2:16">
      <c r="B45" s="9" t="str">
        <f t="shared" si="5"/>
        <v/>
      </c>
      <c r="C45" s="157">
        <f>IF(D11="","-",+C44+1)</f>
        <v>2042</v>
      </c>
      <c r="D45" s="163">
        <f>IF(F44+SUM(E$17:E44)=D$10,F44,D$10-SUM(E$17:E44))</f>
        <v>1874890.0879598651</v>
      </c>
      <c r="E45" s="164">
        <f t="shared" si="7"/>
        <v>120459</v>
      </c>
      <c r="F45" s="163">
        <f t="shared" si="8"/>
        <v>1754431.0879598651</v>
      </c>
      <c r="G45" s="165">
        <f t="shared" si="9"/>
        <v>316451.01196988969</v>
      </c>
      <c r="H45" s="147">
        <f t="shared" si="10"/>
        <v>316451.01196988969</v>
      </c>
      <c r="I45" s="160">
        <f t="shared" si="6"/>
        <v>0</v>
      </c>
      <c r="J45" s="160"/>
      <c r="K45" s="335"/>
      <c r="L45" s="162">
        <f t="shared" si="11"/>
        <v>0</v>
      </c>
      <c r="M45" s="335"/>
      <c r="N45" s="162">
        <f t="shared" si="12"/>
        <v>0</v>
      </c>
      <c r="O45" s="162">
        <f t="shared" si="13"/>
        <v>0</v>
      </c>
      <c r="P45" s="4"/>
    </row>
    <row r="46" spans="2:16">
      <c r="B46" s="9" t="str">
        <f t="shared" si="5"/>
        <v/>
      </c>
      <c r="C46" s="157">
        <f>IF(D11="","-",+C45+1)</f>
        <v>2043</v>
      </c>
      <c r="D46" s="163">
        <f>IF(F45+SUM(E$17:E45)=D$10,F45,D$10-SUM(E$17:E45))</f>
        <v>1754431.0879598651</v>
      </c>
      <c r="E46" s="164">
        <f t="shared" si="7"/>
        <v>120459</v>
      </c>
      <c r="F46" s="163">
        <f t="shared" si="8"/>
        <v>1633972.0879598651</v>
      </c>
      <c r="G46" s="165">
        <f t="shared" si="9"/>
        <v>303440.86454809364</v>
      </c>
      <c r="H46" s="147">
        <f t="shared" si="10"/>
        <v>303440.86454809364</v>
      </c>
      <c r="I46" s="160">
        <f t="shared" si="6"/>
        <v>0</v>
      </c>
      <c r="J46" s="160"/>
      <c r="K46" s="335"/>
      <c r="L46" s="162">
        <f t="shared" si="11"/>
        <v>0</v>
      </c>
      <c r="M46" s="335"/>
      <c r="N46" s="162">
        <f t="shared" si="12"/>
        <v>0</v>
      </c>
      <c r="O46" s="162">
        <f t="shared" si="13"/>
        <v>0</v>
      </c>
      <c r="P46" s="4"/>
    </row>
    <row r="47" spans="2:16">
      <c r="B47" s="9" t="str">
        <f t="shared" si="5"/>
        <v/>
      </c>
      <c r="C47" s="157">
        <f>IF(D11="","-",+C46+1)</f>
        <v>2044</v>
      </c>
      <c r="D47" s="163">
        <f>IF(F46+SUM(E$17:E46)=D$10,F46,D$10-SUM(E$17:E46))</f>
        <v>1633972.0879598651</v>
      </c>
      <c r="E47" s="164">
        <f t="shared" si="7"/>
        <v>120459</v>
      </c>
      <c r="F47" s="163">
        <f t="shared" si="8"/>
        <v>1513513.0879598651</v>
      </c>
      <c r="G47" s="165">
        <f t="shared" si="9"/>
        <v>290430.71712629759</v>
      </c>
      <c r="H47" s="147">
        <f t="shared" si="10"/>
        <v>290430.71712629759</v>
      </c>
      <c r="I47" s="160">
        <f t="shared" si="6"/>
        <v>0</v>
      </c>
      <c r="J47" s="160"/>
      <c r="K47" s="335"/>
      <c r="L47" s="162">
        <f t="shared" si="11"/>
        <v>0</v>
      </c>
      <c r="M47" s="335"/>
      <c r="N47" s="162">
        <f t="shared" si="12"/>
        <v>0</v>
      </c>
      <c r="O47" s="162">
        <f t="shared" si="13"/>
        <v>0</v>
      </c>
      <c r="P47" s="4"/>
    </row>
    <row r="48" spans="2:16">
      <c r="B48" s="9" t="str">
        <f t="shared" si="5"/>
        <v/>
      </c>
      <c r="C48" s="157">
        <f>IF(D11="","-",+C47+1)</f>
        <v>2045</v>
      </c>
      <c r="D48" s="163">
        <f>IF(F47+SUM(E$17:E47)=D$10,F47,D$10-SUM(E$17:E47))</f>
        <v>1513513.0879598651</v>
      </c>
      <c r="E48" s="164">
        <f t="shared" si="7"/>
        <v>120459</v>
      </c>
      <c r="F48" s="163">
        <f t="shared" si="8"/>
        <v>1393054.0879598651</v>
      </c>
      <c r="G48" s="165">
        <f t="shared" si="9"/>
        <v>277420.56970450154</v>
      </c>
      <c r="H48" s="147">
        <f t="shared" si="10"/>
        <v>277420.56970450154</v>
      </c>
      <c r="I48" s="160">
        <f t="shared" si="6"/>
        <v>0</v>
      </c>
      <c r="J48" s="160"/>
      <c r="K48" s="335"/>
      <c r="L48" s="162">
        <f t="shared" si="11"/>
        <v>0</v>
      </c>
      <c r="M48" s="335"/>
      <c r="N48" s="162">
        <f t="shared" si="12"/>
        <v>0</v>
      </c>
      <c r="O48" s="162">
        <f t="shared" si="13"/>
        <v>0</v>
      </c>
      <c r="P48" s="4"/>
    </row>
    <row r="49" spans="2:16">
      <c r="B49" s="9" t="str">
        <f t="shared" si="5"/>
        <v/>
      </c>
      <c r="C49" s="157">
        <f>IF(D11="","-",+C48+1)</f>
        <v>2046</v>
      </c>
      <c r="D49" s="163">
        <f>IF(F48+SUM(E$17:E48)=D$10,F48,D$10-SUM(E$17:E48))</f>
        <v>1393054.0879598651</v>
      </c>
      <c r="E49" s="164">
        <f t="shared" si="7"/>
        <v>120459</v>
      </c>
      <c r="F49" s="163">
        <f t="shared" si="8"/>
        <v>1272595.0879598651</v>
      </c>
      <c r="G49" s="165">
        <f t="shared" si="9"/>
        <v>264410.42228270549</v>
      </c>
      <c r="H49" s="147">
        <f t="shared" si="10"/>
        <v>264410.42228270549</v>
      </c>
      <c r="I49" s="160">
        <f t="shared" si="6"/>
        <v>0</v>
      </c>
      <c r="J49" s="160"/>
      <c r="K49" s="335"/>
      <c r="L49" s="162">
        <f t="shared" si="11"/>
        <v>0</v>
      </c>
      <c r="M49" s="335"/>
      <c r="N49" s="162">
        <f t="shared" si="12"/>
        <v>0</v>
      </c>
      <c r="O49" s="162">
        <f t="shared" si="13"/>
        <v>0</v>
      </c>
      <c r="P49" s="4"/>
    </row>
    <row r="50" spans="2:16">
      <c r="B50" s="9" t="str">
        <f t="shared" si="5"/>
        <v/>
      </c>
      <c r="C50" s="157">
        <f>IF(D11="","-",+C49+1)</f>
        <v>2047</v>
      </c>
      <c r="D50" s="163">
        <f>IF(F49+SUM(E$17:E49)=D$10,F49,D$10-SUM(E$17:E49))</f>
        <v>1272595.0879598651</v>
      </c>
      <c r="E50" s="164">
        <f t="shared" si="7"/>
        <v>120459</v>
      </c>
      <c r="F50" s="163">
        <f t="shared" si="8"/>
        <v>1152136.0879598651</v>
      </c>
      <c r="G50" s="165">
        <f t="shared" si="9"/>
        <v>251400.27486090944</v>
      </c>
      <c r="H50" s="147">
        <f t="shared" si="10"/>
        <v>251400.27486090944</v>
      </c>
      <c r="I50" s="160">
        <f t="shared" si="6"/>
        <v>0</v>
      </c>
      <c r="J50" s="160"/>
      <c r="K50" s="335"/>
      <c r="L50" s="162">
        <f t="shared" si="11"/>
        <v>0</v>
      </c>
      <c r="M50" s="335"/>
      <c r="N50" s="162">
        <f t="shared" si="12"/>
        <v>0</v>
      </c>
      <c r="O50" s="162">
        <f t="shared" si="13"/>
        <v>0</v>
      </c>
      <c r="P50" s="4"/>
    </row>
    <row r="51" spans="2:16">
      <c r="B51" s="9" t="str">
        <f t="shared" si="5"/>
        <v/>
      </c>
      <c r="C51" s="157">
        <f>IF(D11="","-",+C50+1)</f>
        <v>2048</v>
      </c>
      <c r="D51" s="163">
        <f>IF(F50+SUM(E$17:E50)=D$10,F50,D$10-SUM(E$17:E50))</f>
        <v>1152136.0879598651</v>
      </c>
      <c r="E51" s="164">
        <f t="shared" si="7"/>
        <v>120459</v>
      </c>
      <c r="F51" s="163">
        <f t="shared" si="8"/>
        <v>1031677.0879598651</v>
      </c>
      <c r="G51" s="165">
        <f t="shared" si="9"/>
        <v>238390.12743911339</v>
      </c>
      <c r="H51" s="147">
        <f t="shared" si="10"/>
        <v>238390.12743911339</v>
      </c>
      <c r="I51" s="160">
        <f t="shared" si="6"/>
        <v>0</v>
      </c>
      <c r="J51" s="160"/>
      <c r="K51" s="335"/>
      <c r="L51" s="162">
        <f t="shared" si="11"/>
        <v>0</v>
      </c>
      <c r="M51" s="335"/>
      <c r="N51" s="162">
        <f t="shared" si="12"/>
        <v>0</v>
      </c>
      <c r="O51" s="162">
        <f t="shared" si="13"/>
        <v>0</v>
      </c>
      <c r="P51" s="4"/>
    </row>
    <row r="52" spans="2:16">
      <c r="B52" s="9" t="str">
        <f t="shared" si="5"/>
        <v/>
      </c>
      <c r="C52" s="157">
        <f>IF(D11="","-",+C51+1)</f>
        <v>2049</v>
      </c>
      <c r="D52" s="163">
        <f>IF(F51+SUM(E$17:E51)=D$10,F51,D$10-SUM(E$17:E51))</f>
        <v>1031677.0879598651</v>
      </c>
      <c r="E52" s="164">
        <f t="shared" si="7"/>
        <v>120459</v>
      </c>
      <c r="F52" s="163">
        <f t="shared" si="8"/>
        <v>911218.08795986511</v>
      </c>
      <c r="G52" s="165">
        <f t="shared" si="9"/>
        <v>225379.98001731734</v>
      </c>
      <c r="H52" s="147">
        <f t="shared" si="10"/>
        <v>225379.98001731734</v>
      </c>
      <c r="I52" s="160">
        <f t="shared" si="6"/>
        <v>0</v>
      </c>
      <c r="J52" s="160"/>
      <c r="K52" s="335"/>
      <c r="L52" s="162">
        <f t="shared" si="11"/>
        <v>0</v>
      </c>
      <c r="M52" s="335"/>
      <c r="N52" s="162">
        <f t="shared" si="12"/>
        <v>0</v>
      </c>
      <c r="O52" s="162">
        <f t="shared" si="13"/>
        <v>0</v>
      </c>
      <c r="P52" s="4"/>
    </row>
    <row r="53" spans="2:16">
      <c r="B53" s="9" t="str">
        <f t="shared" si="5"/>
        <v/>
      </c>
      <c r="C53" s="157">
        <f>IF(D11="","-",+C52+1)</f>
        <v>2050</v>
      </c>
      <c r="D53" s="163">
        <f>IF(F52+SUM(E$17:E52)=D$10,F52,D$10-SUM(E$17:E52))</f>
        <v>911218.08795986511</v>
      </c>
      <c r="E53" s="164">
        <f t="shared" si="7"/>
        <v>120459</v>
      </c>
      <c r="F53" s="163">
        <f t="shared" si="8"/>
        <v>790759.08795986511</v>
      </c>
      <c r="G53" s="165">
        <f t="shared" si="9"/>
        <v>212369.83259552129</v>
      </c>
      <c r="H53" s="147">
        <f t="shared" si="10"/>
        <v>212369.83259552129</v>
      </c>
      <c r="I53" s="160">
        <f t="shared" si="6"/>
        <v>0</v>
      </c>
      <c r="J53" s="160"/>
      <c r="K53" s="335"/>
      <c r="L53" s="162">
        <f t="shared" si="11"/>
        <v>0</v>
      </c>
      <c r="M53" s="335"/>
      <c r="N53" s="162">
        <f t="shared" si="12"/>
        <v>0</v>
      </c>
      <c r="O53" s="162">
        <f t="shared" si="13"/>
        <v>0</v>
      </c>
      <c r="P53" s="4"/>
    </row>
    <row r="54" spans="2:16">
      <c r="B54" s="9" t="str">
        <f t="shared" si="5"/>
        <v/>
      </c>
      <c r="C54" s="157">
        <f>IF(D11="","-",+C53+1)</f>
        <v>2051</v>
      </c>
      <c r="D54" s="163">
        <f>IF(F53+SUM(E$17:E53)=D$10,F53,D$10-SUM(E$17:E53))</f>
        <v>790759.08795986511</v>
      </c>
      <c r="E54" s="164">
        <f t="shared" si="7"/>
        <v>120459</v>
      </c>
      <c r="F54" s="163">
        <f t="shared" si="8"/>
        <v>670300.08795986511</v>
      </c>
      <c r="G54" s="165">
        <f t="shared" si="9"/>
        <v>199359.68517372524</v>
      </c>
      <c r="H54" s="147">
        <f t="shared" si="10"/>
        <v>199359.68517372524</v>
      </c>
      <c r="I54" s="160">
        <f t="shared" si="6"/>
        <v>0</v>
      </c>
      <c r="J54" s="160"/>
      <c r="K54" s="335"/>
      <c r="L54" s="162">
        <f t="shared" si="11"/>
        <v>0</v>
      </c>
      <c r="M54" s="335"/>
      <c r="N54" s="162">
        <f t="shared" si="12"/>
        <v>0</v>
      </c>
      <c r="O54" s="162">
        <f t="shared" si="13"/>
        <v>0</v>
      </c>
      <c r="P54" s="4"/>
    </row>
    <row r="55" spans="2:16">
      <c r="B55" s="9" t="str">
        <f t="shared" si="5"/>
        <v/>
      </c>
      <c r="C55" s="157">
        <f>IF(D11="","-",+C54+1)</f>
        <v>2052</v>
      </c>
      <c r="D55" s="163">
        <f>IF(F54+SUM(E$17:E54)=D$10,F54,D$10-SUM(E$17:E54))</f>
        <v>670300.08795986511</v>
      </c>
      <c r="E55" s="164">
        <f t="shared" si="7"/>
        <v>120459</v>
      </c>
      <c r="F55" s="163">
        <f t="shared" si="8"/>
        <v>549841.08795986511</v>
      </c>
      <c r="G55" s="165">
        <f t="shared" si="9"/>
        <v>186349.53775192919</v>
      </c>
      <c r="H55" s="147">
        <f t="shared" si="10"/>
        <v>186349.53775192919</v>
      </c>
      <c r="I55" s="160">
        <f t="shared" si="6"/>
        <v>0</v>
      </c>
      <c r="J55" s="160"/>
      <c r="K55" s="335"/>
      <c r="L55" s="162">
        <f t="shared" si="11"/>
        <v>0</v>
      </c>
      <c r="M55" s="335"/>
      <c r="N55" s="162">
        <f t="shared" si="12"/>
        <v>0</v>
      </c>
      <c r="O55" s="162">
        <f t="shared" si="13"/>
        <v>0</v>
      </c>
      <c r="P55" s="4"/>
    </row>
    <row r="56" spans="2:16">
      <c r="B56" s="9" t="str">
        <f t="shared" si="5"/>
        <v/>
      </c>
      <c r="C56" s="157">
        <f>IF(D11="","-",+C55+1)</f>
        <v>2053</v>
      </c>
      <c r="D56" s="163">
        <f>IF(F55+SUM(E$17:E55)=D$10,F55,D$10-SUM(E$17:E55))</f>
        <v>549841.08795986511</v>
      </c>
      <c r="E56" s="164">
        <f t="shared" si="7"/>
        <v>120459</v>
      </c>
      <c r="F56" s="163">
        <f t="shared" si="8"/>
        <v>429382.08795986511</v>
      </c>
      <c r="G56" s="165">
        <f t="shared" si="9"/>
        <v>173339.39033013314</v>
      </c>
      <c r="H56" s="147">
        <f t="shared" si="10"/>
        <v>173339.39033013314</v>
      </c>
      <c r="I56" s="160">
        <f t="shared" si="6"/>
        <v>0</v>
      </c>
      <c r="J56" s="160"/>
      <c r="K56" s="335"/>
      <c r="L56" s="162">
        <f t="shared" si="11"/>
        <v>0</v>
      </c>
      <c r="M56" s="335"/>
      <c r="N56" s="162">
        <f t="shared" si="12"/>
        <v>0</v>
      </c>
      <c r="O56" s="162">
        <f t="shared" si="13"/>
        <v>0</v>
      </c>
      <c r="P56" s="4"/>
    </row>
    <row r="57" spans="2:16">
      <c r="B57" s="9" t="str">
        <f t="shared" si="5"/>
        <v/>
      </c>
      <c r="C57" s="157">
        <f>IF(D11="","-",+C56+1)</f>
        <v>2054</v>
      </c>
      <c r="D57" s="163">
        <f>IF(F56+SUM(E$17:E56)=D$10,F56,D$10-SUM(E$17:E56))</f>
        <v>429382.08795986511</v>
      </c>
      <c r="E57" s="164">
        <f t="shared" si="7"/>
        <v>120459</v>
      </c>
      <c r="F57" s="163">
        <f t="shared" si="8"/>
        <v>308923.08795986511</v>
      </c>
      <c r="G57" s="165">
        <f t="shared" si="9"/>
        <v>160329.2429083371</v>
      </c>
      <c r="H57" s="147">
        <f t="shared" si="10"/>
        <v>160329.2429083371</v>
      </c>
      <c r="I57" s="160">
        <f t="shared" si="6"/>
        <v>0</v>
      </c>
      <c r="J57" s="160"/>
      <c r="K57" s="335"/>
      <c r="L57" s="162">
        <f t="shared" si="11"/>
        <v>0</v>
      </c>
      <c r="M57" s="335"/>
      <c r="N57" s="162">
        <f t="shared" si="12"/>
        <v>0</v>
      </c>
      <c r="O57" s="162">
        <f t="shared" si="13"/>
        <v>0</v>
      </c>
      <c r="P57" s="4"/>
    </row>
    <row r="58" spans="2:16">
      <c r="B58" s="9" t="str">
        <f t="shared" si="5"/>
        <v/>
      </c>
      <c r="C58" s="157">
        <f>IF(D11="","-",+C57+1)</f>
        <v>2055</v>
      </c>
      <c r="D58" s="163">
        <f>IF(F57+SUM(E$17:E57)=D$10,F57,D$10-SUM(E$17:E57))</f>
        <v>308923.08795986511</v>
      </c>
      <c r="E58" s="164">
        <f t="shared" si="7"/>
        <v>120459</v>
      </c>
      <c r="F58" s="163">
        <f t="shared" si="8"/>
        <v>188464.08795986511</v>
      </c>
      <c r="G58" s="165">
        <f t="shared" si="9"/>
        <v>147319.09548654105</v>
      </c>
      <c r="H58" s="147">
        <f t="shared" si="10"/>
        <v>147319.09548654105</v>
      </c>
      <c r="I58" s="160">
        <f t="shared" si="6"/>
        <v>0</v>
      </c>
      <c r="J58" s="160"/>
      <c r="K58" s="335"/>
      <c r="L58" s="162">
        <f t="shared" si="11"/>
        <v>0</v>
      </c>
      <c r="M58" s="335"/>
      <c r="N58" s="162">
        <f t="shared" si="12"/>
        <v>0</v>
      </c>
      <c r="O58" s="162">
        <f t="shared" si="13"/>
        <v>0</v>
      </c>
      <c r="P58" s="4"/>
    </row>
    <row r="59" spans="2:16">
      <c r="B59" s="9" t="str">
        <f t="shared" si="5"/>
        <v/>
      </c>
      <c r="C59" s="157">
        <f>IF(D11="","-",+C58+1)</f>
        <v>2056</v>
      </c>
      <c r="D59" s="163">
        <f>IF(F58+SUM(E$17:E58)=D$10,F58,D$10-SUM(E$17:E58))</f>
        <v>188464.08795986511</v>
      </c>
      <c r="E59" s="164">
        <f t="shared" si="7"/>
        <v>120459</v>
      </c>
      <c r="F59" s="163">
        <f t="shared" si="8"/>
        <v>68005.087959865108</v>
      </c>
      <c r="G59" s="165">
        <f t="shared" si="9"/>
        <v>134308.948064745</v>
      </c>
      <c r="H59" s="147">
        <f t="shared" si="10"/>
        <v>134308.948064745</v>
      </c>
      <c r="I59" s="160">
        <f t="shared" si="6"/>
        <v>0</v>
      </c>
      <c r="J59" s="160"/>
      <c r="K59" s="335"/>
      <c r="L59" s="162">
        <f t="shared" si="11"/>
        <v>0</v>
      </c>
      <c r="M59" s="335"/>
      <c r="N59" s="162">
        <f t="shared" si="12"/>
        <v>0</v>
      </c>
      <c r="O59" s="162">
        <f t="shared" si="13"/>
        <v>0</v>
      </c>
      <c r="P59" s="4"/>
    </row>
    <row r="60" spans="2:16">
      <c r="B60" s="9" t="str">
        <f t="shared" si="5"/>
        <v/>
      </c>
      <c r="C60" s="157">
        <f>IF(D11="","-",+C59+1)</f>
        <v>2057</v>
      </c>
      <c r="D60" s="163">
        <f>IF(F59+SUM(E$17:E59)=D$10,F59,D$10-SUM(E$17:E59))</f>
        <v>68005.087959865108</v>
      </c>
      <c r="E60" s="164">
        <f t="shared" si="7"/>
        <v>68005.087959865108</v>
      </c>
      <c r="F60" s="163">
        <f t="shared" si="8"/>
        <v>0</v>
      </c>
      <c r="G60" s="165">
        <f t="shared" si="9"/>
        <v>71677.525136788594</v>
      </c>
      <c r="H60" s="147">
        <f t="shared" si="10"/>
        <v>71677.525136788594</v>
      </c>
      <c r="I60" s="160">
        <f t="shared" si="6"/>
        <v>0</v>
      </c>
      <c r="J60" s="160"/>
      <c r="K60" s="335"/>
      <c r="L60" s="162">
        <f t="shared" si="11"/>
        <v>0</v>
      </c>
      <c r="M60" s="335"/>
      <c r="N60" s="162">
        <f t="shared" si="12"/>
        <v>0</v>
      </c>
      <c r="O60" s="162">
        <f t="shared" si="13"/>
        <v>0</v>
      </c>
      <c r="P60" s="4"/>
    </row>
    <row r="61" spans="2:16">
      <c r="B61" s="9" t="str">
        <f t="shared" si="5"/>
        <v/>
      </c>
      <c r="C61" s="157">
        <f>IF(D11="","-",+C60+1)</f>
        <v>2058</v>
      </c>
      <c r="D61" s="163">
        <f>IF(F60+SUM(E$17:E60)=D$10,F60,D$10-SUM(E$17:E60))</f>
        <v>0</v>
      </c>
      <c r="E61" s="164">
        <f t="shared" si="7"/>
        <v>0</v>
      </c>
      <c r="F61" s="163">
        <f t="shared" si="8"/>
        <v>0</v>
      </c>
      <c r="G61" s="165">
        <f t="shared" si="9"/>
        <v>0</v>
      </c>
      <c r="H61" s="147">
        <f t="shared" si="10"/>
        <v>0</v>
      </c>
      <c r="I61" s="160">
        <f t="shared" si="6"/>
        <v>0</v>
      </c>
      <c r="J61" s="160"/>
      <c r="K61" s="335"/>
      <c r="L61" s="162">
        <f t="shared" si="11"/>
        <v>0</v>
      </c>
      <c r="M61" s="335"/>
      <c r="N61" s="162">
        <f t="shared" si="12"/>
        <v>0</v>
      </c>
      <c r="O61" s="162">
        <f t="shared" si="13"/>
        <v>0</v>
      </c>
      <c r="P61" s="4"/>
    </row>
    <row r="62" spans="2:16">
      <c r="B62" s="9" t="str">
        <f t="shared" si="5"/>
        <v/>
      </c>
      <c r="C62" s="157">
        <f>IF(D11="","-",+C61+1)</f>
        <v>2059</v>
      </c>
      <c r="D62" s="163">
        <f>IF(F61+SUM(E$17:E61)=D$10,F61,D$10-SUM(E$17:E61))</f>
        <v>0</v>
      </c>
      <c r="E62" s="164">
        <f t="shared" si="7"/>
        <v>0</v>
      </c>
      <c r="F62" s="163">
        <f t="shared" si="8"/>
        <v>0</v>
      </c>
      <c r="G62" s="165">
        <f t="shared" si="9"/>
        <v>0</v>
      </c>
      <c r="H62" s="147">
        <f t="shared" si="10"/>
        <v>0</v>
      </c>
      <c r="I62" s="160">
        <f t="shared" si="6"/>
        <v>0</v>
      </c>
      <c r="J62" s="160"/>
      <c r="K62" s="335"/>
      <c r="L62" s="162">
        <f t="shared" si="11"/>
        <v>0</v>
      </c>
      <c r="M62" s="335"/>
      <c r="N62" s="162">
        <f t="shared" si="12"/>
        <v>0</v>
      </c>
      <c r="O62" s="162">
        <f t="shared" si="13"/>
        <v>0</v>
      </c>
      <c r="P62" s="4"/>
    </row>
    <row r="63" spans="2:16">
      <c r="B63" s="9" t="str">
        <f t="shared" si="5"/>
        <v/>
      </c>
      <c r="C63" s="157">
        <f>IF(D11="","-",+C62+1)</f>
        <v>2060</v>
      </c>
      <c r="D63" s="163">
        <f>IF(F62+SUM(E$17:E62)=D$10,F62,D$10-SUM(E$17:E62))</f>
        <v>0</v>
      </c>
      <c r="E63" s="164">
        <f t="shared" si="7"/>
        <v>0</v>
      </c>
      <c r="F63" s="163">
        <f t="shared" si="8"/>
        <v>0</v>
      </c>
      <c r="G63" s="165">
        <f t="shared" si="9"/>
        <v>0</v>
      </c>
      <c r="H63" s="147">
        <f t="shared" si="10"/>
        <v>0</v>
      </c>
      <c r="I63" s="160">
        <f t="shared" si="6"/>
        <v>0</v>
      </c>
      <c r="J63" s="160"/>
      <c r="K63" s="335"/>
      <c r="L63" s="162">
        <f t="shared" si="11"/>
        <v>0</v>
      </c>
      <c r="M63" s="335"/>
      <c r="N63" s="162">
        <f t="shared" si="12"/>
        <v>0</v>
      </c>
      <c r="O63" s="162">
        <f t="shared" si="13"/>
        <v>0</v>
      </c>
      <c r="P63" s="4"/>
    </row>
    <row r="64" spans="2:16">
      <c r="B64" s="9" t="str">
        <f t="shared" si="5"/>
        <v/>
      </c>
      <c r="C64" s="157">
        <f>IF(D11="","-",+C63+1)</f>
        <v>2061</v>
      </c>
      <c r="D64" s="163">
        <f>IF(F63+SUM(E$17:E63)=D$10,F63,D$10-SUM(E$17:E63))</f>
        <v>0</v>
      </c>
      <c r="E64" s="164">
        <f t="shared" si="7"/>
        <v>0</v>
      </c>
      <c r="F64" s="163">
        <f t="shared" si="8"/>
        <v>0</v>
      </c>
      <c r="G64" s="165">
        <f t="shared" si="9"/>
        <v>0</v>
      </c>
      <c r="H64" s="147">
        <f t="shared" si="10"/>
        <v>0</v>
      </c>
      <c r="I64" s="160">
        <f t="shared" si="6"/>
        <v>0</v>
      </c>
      <c r="J64" s="160"/>
      <c r="K64" s="335"/>
      <c r="L64" s="162">
        <f t="shared" si="11"/>
        <v>0</v>
      </c>
      <c r="M64" s="335"/>
      <c r="N64" s="162">
        <f t="shared" si="12"/>
        <v>0</v>
      </c>
      <c r="O64" s="162">
        <f t="shared" si="13"/>
        <v>0</v>
      </c>
      <c r="P64" s="4"/>
    </row>
    <row r="65" spans="2:16">
      <c r="B65" s="9" t="str">
        <f t="shared" si="5"/>
        <v/>
      </c>
      <c r="C65" s="157">
        <f>IF(D11="","-",+C64+1)</f>
        <v>2062</v>
      </c>
      <c r="D65" s="163">
        <f>IF(F64+SUM(E$17:E64)=D$10,F64,D$10-SUM(E$17:E64))</f>
        <v>0</v>
      </c>
      <c r="E65" s="164">
        <f t="shared" si="7"/>
        <v>0</v>
      </c>
      <c r="F65" s="163">
        <f t="shared" si="8"/>
        <v>0</v>
      </c>
      <c r="G65" s="165">
        <f t="shared" si="9"/>
        <v>0</v>
      </c>
      <c r="H65" s="147">
        <f t="shared" si="10"/>
        <v>0</v>
      </c>
      <c r="I65" s="160">
        <f t="shared" si="6"/>
        <v>0</v>
      </c>
      <c r="J65" s="160"/>
      <c r="K65" s="335"/>
      <c r="L65" s="162">
        <f t="shared" si="11"/>
        <v>0</v>
      </c>
      <c r="M65" s="335"/>
      <c r="N65" s="162">
        <f t="shared" si="12"/>
        <v>0</v>
      </c>
      <c r="O65" s="162">
        <f t="shared" si="13"/>
        <v>0</v>
      </c>
      <c r="P65" s="4"/>
    </row>
    <row r="66" spans="2:16">
      <c r="B66" s="9" t="str">
        <f t="shared" si="5"/>
        <v/>
      </c>
      <c r="C66" s="157">
        <f>IF(D11="","-",+C65+1)</f>
        <v>2063</v>
      </c>
      <c r="D66" s="163">
        <f>IF(F65+SUM(E$17:E65)=D$10,F65,D$10-SUM(E$17:E65))</f>
        <v>0</v>
      </c>
      <c r="E66" s="164">
        <f t="shared" si="7"/>
        <v>0</v>
      </c>
      <c r="F66" s="163">
        <f t="shared" si="8"/>
        <v>0</v>
      </c>
      <c r="G66" s="165">
        <f t="shared" si="9"/>
        <v>0</v>
      </c>
      <c r="H66" s="147">
        <f t="shared" si="10"/>
        <v>0</v>
      </c>
      <c r="I66" s="160">
        <f t="shared" si="6"/>
        <v>0</v>
      </c>
      <c r="J66" s="160"/>
      <c r="K66" s="335"/>
      <c r="L66" s="162">
        <f t="shared" si="11"/>
        <v>0</v>
      </c>
      <c r="M66" s="335"/>
      <c r="N66" s="162">
        <f t="shared" si="12"/>
        <v>0</v>
      </c>
      <c r="O66" s="162">
        <f t="shared" si="13"/>
        <v>0</v>
      </c>
      <c r="P66" s="4"/>
    </row>
    <row r="67" spans="2:16">
      <c r="B67" s="9" t="str">
        <f t="shared" si="5"/>
        <v/>
      </c>
      <c r="C67" s="157">
        <f>IF(D11="","-",+C66+1)</f>
        <v>2064</v>
      </c>
      <c r="D67" s="163">
        <f>IF(F66+SUM(E$17:E66)=D$10,F66,D$10-SUM(E$17:E66))</f>
        <v>0</v>
      </c>
      <c r="E67" s="164">
        <f t="shared" si="7"/>
        <v>0</v>
      </c>
      <c r="F67" s="163">
        <f t="shared" si="8"/>
        <v>0</v>
      </c>
      <c r="G67" s="165">
        <f t="shared" si="9"/>
        <v>0</v>
      </c>
      <c r="H67" s="147">
        <f t="shared" si="10"/>
        <v>0</v>
      </c>
      <c r="I67" s="160">
        <f t="shared" si="6"/>
        <v>0</v>
      </c>
      <c r="J67" s="160"/>
      <c r="K67" s="335"/>
      <c r="L67" s="162">
        <f t="shared" si="11"/>
        <v>0</v>
      </c>
      <c r="M67" s="335"/>
      <c r="N67" s="162">
        <f t="shared" si="12"/>
        <v>0</v>
      </c>
      <c r="O67" s="162">
        <f t="shared" si="13"/>
        <v>0</v>
      </c>
      <c r="P67" s="4"/>
    </row>
    <row r="68" spans="2:16">
      <c r="B68" s="9" t="str">
        <f t="shared" si="5"/>
        <v/>
      </c>
      <c r="C68" s="157">
        <f>IF(D11="","-",+C67+1)</f>
        <v>2065</v>
      </c>
      <c r="D68" s="163">
        <f>IF(F67+SUM(E$17:E67)=D$10,F67,D$10-SUM(E$17:E67))</f>
        <v>0</v>
      </c>
      <c r="E68" s="164">
        <f t="shared" si="7"/>
        <v>0</v>
      </c>
      <c r="F68" s="163">
        <f t="shared" si="8"/>
        <v>0</v>
      </c>
      <c r="G68" s="165">
        <f t="shared" si="9"/>
        <v>0</v>
      </c>
      <c r="H68" s="147">
        <f t="shared" si="10"/>
        <v>0</v>
      </c>
      <c r="I68" s="160">
        <f t="shared" si="6"/>
        <v>0</v>
      </c>
      <c r="J68" s="160"/>
      <c r="K68" s="335"/>
      <c r="L68" s="162">
        <f t="shared" si="11"/>
        <v>0</v>
      </c>
      <c r="M68" s="335"/>
      <c r="N68" s="162">
        <f t="shared" si="12"/>
        <v>0</v>
      </c>
      <c r="O68" s="162">
        <f t="shared" si="13"/>
        <v>0</v>
      </c>
      <c r="P68" s="4"/>
    </row>
    <row r="69" spans="2:16">
      <c r="B69" s="9" t="str">
        <f t="shared" si="5"/>
        <v/>
      </c>
      <c r="C69" s="157">
        <f>IF(D11="","-",+C68+1)</f>
        <v>2066</v>
      </c>
      <c r="D69" s="163">
        <f>IF(F68+SUM(E$17:E68)=D$10,F68,D$10-SUM(E$17:E68))</f>
        <v>0</v>
      </c>
      <c r="E69" s="164">
        <f t="shared" si="7"/>
        <v>0</v>
      </c>
      <c r="F69" s="163">
        <f t="shared" si="8"/>
        <v>0</v>
      </c>
      <c r="G69" s="165">
        <f t="shared" si="9"/>
        <v>0</v>
      </c>
      <c r="H69" s="147">
        <f t="shared" si="10"/>
        <v>0</v>
      </c>
      <c r="I69" s="160">
        <f t="shared" si="6"/>
        <v>0</v>
      </c>
      <c r="J69" s="160"/>
      <c r="K69" s="335"/>
      <c r="L69" s="162">
        <f t="shared" si="11"/>
        <v>0</v>
      </c>
      <c r="M69" s="335"/>
      <c r="N69" s="162">
        <f t="shared" si="12"/>
        <v>0</v>
      </c>
      <c r="O69" s="162">
        <f t="shared" si="13"/>
        <v>0</v>
      </c>
      <c r="P69" s="4"/>
    </row>
    <row r="70" spans="2:16">
      <c r="B70" s="9" t="str">
        <f t="shared" si="5"/>
        <v/>
      </c>
      <c r="C70" s="157">
        <f>IF(D11="","-",+C69+1)</f>
        <v>2067</v>
      </c>
      <c r="D70" s="163">
        <f>IF(F69+SUM(E$17:E69)=D$10,F69,D$10-SUM(E$17:E69))</f>
        <v>0</v>
      </c>
      <c r="E70" s="164">
        <f t="shared" si="7"/>
        <v>0</v>
      </c>
      <c r="F70" s="163">
        <f t="shared" si="8"/>
        <v>0</v>
      </c>
      <c r="G70" s="165">
        <f t="shared" si="9"/>
        <v>0</v>
      </c>
      <c r="H70" s="147">
        <f t="shared" si="10"/>
        <v>0</v>
      </c>
      <c r="I70" s="160">
        <f t="shared" si="6"/>
        <v>0</v>
      </c>
      <c r="J70" s="160"/>
      <c r="K70" s="335"/>
      <c r="L70" s="162">
        <f t="shared" si="11"/>
        <v>0</v>
      </c>
      <c r="M70" s="335"/>
      <c r="N70" s="162">
        <f t="shared" si="12"/>
        <v>0</v>
      </c>
      <c r="O70" s="162">
        <f t="shared" si="13"/>
        <v>0</v>
      </c>
      <c r="P70" s="4"/>
    </row>
    <row r="71" spans="2:16">
      <c r="B71" s="9" t="str">
        <f t="shared" si="5"/>
        <v/>
      </c>
      <c r="C71" s="157">
        <f>IF(D11="","-",+C70+1)</f>
        <v>2068</v>
      </c>
      <c r="D71" s="163">
        <f>IF(F70+SUM(E$17:E70)=D$10,F70,D$10-SUM(E$17:E70))</f>
        <v>0</v>
      </c>
      <c r="E71" s="164">
        <f t="shared" si="7"/>
        <v>0</v>
      </c>
      <c r="F71" s="163">
        <f t="shared" si="8"/>
        <v>0</v>
      </c>
      <c r="G71" s="165">
        <f t="shared" si="9"/>
        <v>0</v>
      </c>
      <c r="H71" s="147">
        <f t="shared" si="10"/>
        <v>0</v>
      </c>
      <c r="I71" s="160">
        <f t="shared" si="6"/>
        <v>0</v>
      </c>
      <c r="J71" s="160"/>
      <c r="K71" s="335"/>
      <c r="L71" s="162">
        <f t="shared" si="11"/>
        <v>0</v>
      </c>
      <c r="M71" s="335"/>
      <c r="N71" s="162">
        <f t="shared" si="12"/>
        <v>0</v>
      </c>
      <c r="O71" s="162">
        <f t="shared" si="13"/>
        <v>0</v>
      </c>
      <c r="P71" s="4"/>
    </row>
    <row r="72" spans="2:16" ht="13.5" thickBot="1">
      <c r="B72" s="9" t="str">
        <f t="shared" si="5"/>
        <v/>
      </c>
      <c r="C72" s="168">
        <f>IF(D11="","-",+C71+1)</f>
        <v>2069</v>
      </c>
      <c r="D72" s="169">
        <f>IF(F71+SUM(E$17:E71)=D$10,F71,D$10-SUM(E$17:E71))</f>
        <v>0</v>
      </c>
      <c r="E72" s="170">
        <f t="shared" si="7"/>
        <v>0</v>
      </c>
      <c r="F72" s="169">
        <f t="shared" si="8"/>
        <v>0</v>
      </c>
      <c r="G72" s="377">
        <f t="shared" si="9"/>
        <v>0</v>
      </c>
      <c r="H72" s="130">
        <f t="shared" si="10"/>
        <v>0</v>
      </c>
      <c r="I72" s="172">
        <f t="shared" si="6"/>
        <v>0</v>
      </c>
      <c r="J72" s="160"/>
      <c r="K72" s="336"/>
      <c r="L72" s="173">
        <f t="shared" si="11"/>
        <v>0</v>
      </c>
      <c r="M72" s="336"/>
      <c r="N72" s="173">
        <f t="shared" si="12"/>
        <v>0</v>
      </c>
      <c r="O72" s="173">
        <f t="shared" si="13"/>
        <v>0</v>
      </c>
      <c r="P72" s="4"/>
    </row>
    <row r="73" spans="2:16">
      <c r="C73" s="158" t="s">
        <v>72</v>
      </c>
      <c r="D73" s="115"/>
      <c r="E73" s="115">
        <f>SUM(E17:E72)</f>
        <v>5059277.9999999991</v>
      </c>
      <c r="F73" s="115"/>
      <c r="G73" s="115">
        <f>SUM(G17:G72)</f>
        <v>18169876.644633714</v>
      </c>
      <c r="H73" s="115">
        <f>SUM(H17:H72)</f>
        <v>18169876.644633714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16 of 28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2018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740035.4</v>
      </c>
      <c r="N87" s="202">
        <f>IF(J92&lt;D11,0,VLOOKUP(J92,C17:O72,11))</f>
        <v>740035.4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598764.03634994966</v>
      </c>
      <c r="N88" s="204">
        <f>IF(J92&lt;D11,0,VLOOKUP(J92,C99:P154,7))</f>
        <v>598764.03634994966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Cornville Station Conversion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-141271.36365005036</v>
      </c>
      <c r="N89" s="207">
        <f>+N88-N87</f>
        <v>-141271.36365005036</v>
      </c>
      <c r="O89" s="208">
        <f>+O88-O87</f>
        <v>0</v>
      </c>
      <c r="P89" s="1"/>
    </row>
    <row r="90" spans="1:16" ht="13.5" thickBot="1">
      <c r="C90" s="174"/>
      <c r="D90" s="177" t="str">
        <f>D8</f>
        <v/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 t="str">
        <f>+D9</f>
        <v>TP2011093</v>
      </c>
      <c r="E91" s="210" t="str">
        <f>E9</f>
        <v xml:space="preserve">  SPP Project ID = 30346</v>
      </c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138">
        <v>5059278</v>
      </c>
      <c r="E92" s="22" t="s">
        <v>89</v>
      </c>
      <c r="H92" s="139"/>
      <c r="I92" s="139"/>
      <c r="J92" s="140">
        <f>+'PSO.WS.G.BPU.ATRR.True-up'!M16</f>
        <v>2018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2014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12</v>
      </c>
      <c r="E94" s="141" t="s">
        <v>51</v>
      </c>
      <c r="F94" s="139"/>
      <c r="G94" s="139"/>
      <c r="J94" s="145">
        <f>'PSO.WS.G.BPU.ATRR.True-up'!$F$81</f>
        <v>0.10273556682691798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43</v>
      </c>
      <c r="E95" s="141" t="s">
        <v>54</v>
      </c>
      <c r="F95" s="139"/>
      <c r="G95" s="139"/>
      <c r="J95" s="145">
        <f>IF(H87="",J94,'PSO.WS.G.BPU.ATRR.True-up'!$F$80)</f>
        <v>0.10273556682691798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117658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277</v>
      </c>
      <c r="I97" s="339" t="s">
        <v>278</v>
      </c>
      <c r="J97" s="214" t="s">
        <v>93</v>
      </c>
      <c r="K97" s="216"/>
      <c r="L97" s="151" t="s">
        <v>97</v>
      </c>
      <c r="M97" s="151" t="s">
        <v>94</v>
      </c>
      <c r="N97" s="151" t="s">
        <v>97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2014</v>
      </c>
      <c r="D99" s="435">
        <v>0</v>
      </c>
      <c r="E99" s="436">
        <v>0</v>
      </c>
      <c r="F99" s="437">
        <v>4992922.66</v>
      </c>
      <c r="G99" s="447">
        <v>2496461.33</v>
      </c>
      <c r="H99" s="448">
        <v>350992.25806989282</v>
      </c>
      <c r="I99" s="449">
        <v>350992.25806989282</v>
      </c>
      <c r="J99" s="162">
        <v>0</v>
      </c>
      <c r="K99" s="162"/>
      <c r="L99" s="338">
        <f>H99</f>
        <v>350992.25806989282</v>
      </c>
      <c r="M99" s="175">
        <f>IF(L99&lt;&gt;0,+H99-L99,0)</f>
        <v>0</v>
      </c>
      <c r="N99" s="338">
        <f>I99</f>
        <v>350992.25806989282</v>
      </c>
      <c r="O99" s="160">
        <f>IF(N99&lt;&gt;0,+I99-N99,0)</f>
        <v>0</v>
      </c>
      <c r="P99" s="162">
        <f>+O99-M99</f>
        <v>0</v>
      </c>
    </row>
    <row r="100" spans="1:16">
      <c r="B100" s="9" t="str">
        <f>IF(D100=F99,"","IU")</f>
        <v>IU</v>
      </c>
      <c r="C100" s="157">
        <f>IF(D93="","-",+C99+1)</f>
        <v>2015</v>
      </c>
      <c r="D100" s="435">
        <v>5071338</v>
      </c>
      <c r="E100" s="436">
        <v>97526</v>
      </c>
      <c r="F100" s="437">
        <v>4973812</v>
      </c>
      <c r="G100" s="437">
        <v>5022575</v>
      </c>
      <c r="H100" s="448">
        <v>782815.97525692882</v>
      </c>
      <c r="I100" s="449">
        <v>782815.97525692882</v>
      </c>
      <c r="J100" s="162">
        <f>+I100-H100</f>
        <v>0</v>
      </c>
      <c r="K100" s="162"/>
      <c r="L100" s="338">
        <f>H100</f>
        <v>782815.97525692882</v>
      </c>
      <c r="M100" s="175">
        <f>IF(L100&lt;&gt;0,+H100-L100,0)</f>
        <v>0</v>
      </c>
      <c r="N100" s="338">
        <f>I100</f>
        <v>782815.97525692882</v>
      </c>
      <c r="O100" s="160">
        <f>IF(N100&lt;&gt;0,+I100-N100,0)</f>
        <v>0</v>
      </c>
      <c r="P100" s="162">
        <f>+O100-M100</f>
        <v>0</v>
      </c>
    </row>
    <row r="101" spans="1:16">
      <c r="B101" s="9" t="str">
        <f t="shared" ref="B101:B154" si="14">IF(D101=F100,"","IU")</f>
        <v>IU</v>
      </c>
      <c r="C101" s="157">
        <f>IF(D93="","-",+C100+1)</f>
        <v>2016</v>
      </c>
      <c r="D101" s="435">
        <v>4961752</v>
      </c>
      <c r="E101" s="436">
        <v>109984</v>
      </c>
      <c r="F101" s="437">
        <v>4851768</v>
      </c>
      <c r="G101" s="437">
        <v>4906760</v>
      </c>
      <c r="H101" s="448">
        <v>742542.63994670648</v>
      </c>
      <c r="I101" s="449">
        <v>742542.63994670648</v>
      </c>
      <c r="J101" s="162">
        <v>0</v>
      </c>
      <c r="K101" s="162"/>
      <c r="L101" s="338">
        <f>H101</f>
        <v>742542.63994670648</v>
      </c>
      <c r="M101" s="175">
        <f>IF(L101&lt;&gt;0,+H101-L101,0)</f>
        <v>0</v>
      </c>
      <c r="N101" s="338">
        <f>I101</f>
        <v>742542.63994670648</v>
      </c>
      <c r="O101" s="160">
        <f>IF(N101&lt;&gt;0,+I101-N101,0)</f>
        <v>0</v>
      </c>
      <c r="P101" s="162">
        <f>+O101-M101</f>
        <v>0</v>
      </c>
    </row>
    <row r="102" spans="1:16">
      <c r="B102" s="9" t="str">
        <f t="shared" si="14"/>
        <v/>
      </c>
      <c r="C102" s="157">
        <f>IF(D93="","-",+C101+1)</f>
        <v>2017</v>
      </c>
      <c r="D102" s="435">
        <v>4851768</v>
      </c>
      <c r="E102" s="436">
        <v>109984</v>
      </c>
      <c r="F102" s="437">
        <v>4741784</v>
      </c>
      <c r="G102" s="437">
        <v>4796776</v>
      </c>
      <c r="H102" s="448">
        <v>718467.13067498105</v>
      </c>
      <c r="I102" s="449">
        <v>718467.13067498105</v>
      </c>
      <c r="J102" s="162">
        <f t="shared" ref="J102:J154" si="15">+I102-H102</f>
        <v>0</v>
      </c>
      <c r="K102" s="162"/>
      <c r="L102" s="338">
        <f>H102</f>
        <v>718467.13067498105</v>
      </c>
      <c r="M102" s="175">
        <f>IF(L102&lt;&gt;0,+H102-L102,0)</f>
        <v>0</v>
      </c>
      <c r="N102" s="338">
        <f>I102</f>
        <v>718467.13067498105</v>
      </c>
      <c r="O102" s="160">
        <f>IF(N102&lt;&gt;0,+I102-N102,0)</f>
        <v>0</v>
      </c>
      <c r="P102" s="162">
        <f>+O102-M102</f>
        <v>0</v>
      </c>
    </row>
    <row r="103" spans="1:16">
      <c r="B103" s="9" t="str">
        <f t="shared" si="14"/>
        <v/>
      </c>
      <c r="C103" s="157">
        <f>IF(D93="","-",+C102+1)</f>
        <v>2018</v>
      </c>
      <c r="D103" s="158">
        <f>IF(F102+SUM(E$99:E102)=D$92,F102,D$92-SUM(E$99:E102))</f>
        <v>4741784</v>
      </c>
      <c r="E103" s="164">
        <f t="shared" ref="E103:E154" si="16">IF(+J$96&lt;F102,J$96,D103)</f>
        <v>117658</v>
      </c>
      <c r="F103" s="163">
        <f t="shared" ref="F103:F154" si="17">+D103-E103</f>
        <v>4624126</v>
      </c>
      <c r="G103" s="163">
        <f t="shared" ref="G103:G154" si="18">+(F103+D103)/2</f>
        <v>4682955</v>
      </c>
      <c r="H103" s="167">
        <f t="shared" ref="H103:H154" si="19">+J$94*G103+E103</f>
        <v>598764.03634994966</v>
      </c>
      <c r="I103" s="317">
        <f t="shared" ref="I103:I154" si="20">+J$95*G103+E103</f>
        <v>598764.03634994966</v>
      </c>
      <c r="J103" s="162">
        <f t="shared" si="15"/>
        <v>0</v>
      </c>
      <c r="K103" s="162"/>
      <c r="L103" s="335"/>
      <c r="M103" s="162">
        <f t="shared" ref="M103:M130" si="21">IF(L103&lt;&gt;0,+H103-L103,0)</f>
        <v>0</v>
      </c>
      <c r="N103" s="335"/>
      <c r="O103" s="162">
        <f t="shared" ref="O103:O130" si="22">IF(N103&lt;&gt;0,+I103-N103,0)</f>
        <v>0</v>
      </c>
      <c r="P103" s="162">
        <f t="shared" ref="P103:P130" si="23">+O103-M103</f>
        <v>0</v>
      </c>
    </row>
    <row r="104" spans="1:16">
      <c r="B104" s="9" t="str">
        <f t="shared" si="14"/>
        <v/>
      </c>
      <c r="C104" s="157">
        <f>IF(D93="","-",+C103+1)</f>
        <v>2019</v>
      </c>
      <c r="D104" s="158">
        <f>IF(F103+SUM(E$99:E103)=D$92,F103,D$92-SUM(E$99:E103))</f>
        <v>4624126</v>
      </c>
      <c r="E104" s="164">
        <f t="shared" si="16"/>
        <v>117658</v>
      </c>
      <c r="F104" s="163">
        <f t="shared" si="17"/>
        <v>4506468</v>
      </c>
      <c r="G104" s="163">
        <f t="shared" si="18"/>
        <v>4565297</v>
      </c>
      <c r="H104" s="167">
        <f t="shared" si="19"/>
        <v>586676.37502822815</v>
      </c>
      <c r="I104" s="317">
        <f t="shared" si="20"/>
        <v>586676.37502822815</v>
      </c>
      <c r="J104" s="162">
        <f t="shared" si="15"/>
        <v>0</v>
      </c>
      <c r="K104" s="162"/>
      <c r="L104" s="335"/>
      <c r="M104" s="162">
        <f t="shared" si="21"/>
        <v>0</v>
      </c>
      <c r="N104" s="335"/>
      <c r="O104" s="162">
        <f t="shared" si="22"/>
        <v>0</v>
      </c>
      <c r="P104" s="162">
        <f t="shared" si="23"/>
        <v>0</v>
      </c>
    </row>
    <row r="105" spans="1:16">
      <c r="B105" s="9" t="str">
        <f t="shared" si="14"/>
        <v/>
      </c>
      <c r="C105" s="157">
        <f>IF(D93="","-",+C104+1)</f>
        <v>2020</v>
      </c>
      <c r="D105" s="158">
        <f>IF(F104+SUM(E$99:E104)=D$92,F104,D$92-SUM(E$99:E104))</f>
        <v>4506468</v>
      </c>
      <c r="E105" s="164">
        <f t="shared" si="16"/>
        <v>117658</v>
      </c>
      <c r="F105" s="163">
        <f t="shared" si="17"/>
        <v>4388810</v>
      </c>
      <c r="G105" s="163">
        <f t="shared" si="18"/>
        <v>4447639</v>
      </c>
      <c r="H105" s="167">
        <f t="shared" si="19"/>
        <v>574588.71370650665</v>
      </c>
      <c r="I105" s="317">
        <f t="shared" si="20"/>
        <v>574588.71370650665</v>
      </c>
      <c r="J105" s="162">
        <f t="shared" si="15"/>
        <v>0</v>
      </c>
      <c r="K105" s="162"/>
      <c r="L105" s="335"/>
      <c r="M105" s="162">
        <f t="shared" si="21"/>
        <v>0</v>
      </c>
      <c r="N105" s="335"/>
      <c r="O105" s="162">
        <f t="shared" si="22"/>
        <v>0</v>
      </c>
      <c r="P105" s="162">
        <f t="shared" si="23"/>
        <v>0</v>
      </c>
    </row>
    <row r="106" spans="1:16">
      <c r="B106" s="9" t="str">
        <f t="shared" si="14"/>
        <v/>
      </c>
      <c r="C106" s="157">
        <f>IF(D93="","-",+C105+1)</f>
        <v>2021</v>
      </c>
      <c r="D106" s="158">
        <f>IF(F105+SUM(E$99:E105)=D$92,F105,D$92-SUM(E$99:E105))</f>
        <v>4388810</v>
      </c>
      <c r="E106" s="164">
        <f t="shared" si="16"/>
        <v>117658</v>
      </c>
      <c r="F106" s="163">
        <f t="shared" si="17"/>
        <v>4271152</v>
      </c>
      <c r="G106" s="163">
        <f t="shared" si="18"/>
        <v>4329981</v>
      </c>
      <c r="H106" s="167">
        <f t="shared" si="19"/>
        <v>562501.05238478514</v>
      </c>
      <c r="I106" s="317">
        <f t="shared" si="20"/>
        <v>562501.05238478514</v>
      </c>
      <c r="J106" s="162">
        <f t="shared" si="15"/>
        <v>0</v>
      </c>
      <c r="K106" s="162"/>
      <c r="L106" s="335"/>
      <c r="M106" s="162">
        <f t="shared" si="21"/>
        <v>0</v>
      </c>
      <c r="N106" s="335"/>
      <c r="O106" s="162">
        <f t="shared" si="22"/>
        <v>0</v>
      </c>
      <c r="P106" s="162">
        <f t="shared" si="23"/>
        <v>0</v>
      </c>
    </row>
    <row r="107" spans="1:16">
      <c r="B107" s="9" t="str">
        <f t="shared" si="14"/>
        <v/>
      </c>
      <c r="C107" s="157">
        <f>IF(D93="","-",+C106+1)</f>
        <v>2022</v>
      </c>
      <c r="D107" s="158">
        <f>IF(F106+SUM(E$99:E106)=D$92,F106,D$92-SUM(E$99:E106))</f>
        <v>4271152</v>
      </c>
      <c r="E107" s="164">
        <f t="shared" si="16"/>
        <v>117658</v>
      </c>
      <c r="F107" s="163">
        <f t="shared" si="17"/>
        <v>4153494</v>
      </c>
      <c r="G107" s="163">
        <f t="shared" si="18"/>
        <v>4212323</v>
      </c>
      <c r="H107" s="167">
        <f t="shared" si="19"/>
        <v>550413.39106306364</v>
      </c>
      <c r="I107" s="317">
        <f t="shared" si="20"/>
        <v>550413.39106306364</v>
      </c>
      <c r="J107" s="162">
        <f t="shared" si="15"/>
        <v>0</v>
      </c>
      <c r="K107" s="162"/>
      <c r="L107" s="335"/>
      <c r="M107" s="162">
        <f t="shared" si="21"/>
        <v>0</v>
      </c>
      <c r="N107" s="335"/>
      <c r="O107" s="162">
        <f t="shared" si="22"/>
        <v>0</v>
      </c>
      <c r="P107" s="162">
        <f t="shared" si="23"/>
        <v>0</v>
      </c>
    </row>
    <row r="108" spans="1:16">
      <c r="B108" s="9" t="str">
        <f t="shared" si="14"/>
        <v/>
      </c>
      <c r="C108" s="157">
        <f>IF(D93="","-",+C107+1)</f>
        <v>2023</v>
      </c>
      <c r="D108" s="158">
        <f>IF(F107+SUM(E$99:E107)=D$92,F107,D$92-SUM(E$99:E107))</f>
        <v>4153494</v>
      </c>
      <c r="E108" s="164">
        <f t="shared" si="16"/>
        <v>117658</v>
      </c>
      <c r="F108" s="163">
        <f t="shared" si="17"/>
        <v>4035836</v>
      </c>
      <c r="G108" s="163">
        <f t="shared" si="18"/>
        <v>4094665</v>
      </c>
      <c r="H108" s="167">
        <f t="shared" si="19"/>
        <v>538325.72974134213</v>
      </c>
      <c r="I108" s="317">
        <f t="shared" si="20"/>
        <v>538325.72974134213</v>
      </c>
      <c r="J108" s="162">
        <f t="shared" si="15"/>
        <v>0</v>
      </c>
      <c r="K108" s="162"/>
      <c r="L108" s="335"/>
      <c r="M108" s="162">
        <f t="shared" si="21"/>
        <v>0</v>
      </c>
      <c r="N108" s="335"/>
      <c r="O108" s="162">
        <f t="shared" si="22"/>
        <v>0</v>
      </c>
      <c r="P108" s="162">
        <f t="shared" si="23"/>
        <v>0</v>
      </c>
    </row>
    <row r="109" spans="1:16">
      <c r="B109" s="9" t="str">
        <f t="shared" si="14"/>
        <v/>
      </c>
      <c r="C109" s="157">
        <f>IF(D93="","-",+C108+1)</f>
        <v>2024</v>
      </c>
      <c r="D109" s="158">
        <f>IF(F108+SUM(E$99:E108)=D$92,F108,D$92-SUM(E$99:E108))</f>
        <v>4035836</v>
      </c>
      <c r="E109" s="164">
        <f t="shared" si="16"/>
        <v>117658</v>
      </c>
      <c r="F109" s="163">
        <f t="shared" si="17"/>
        <v>3918178</v>
      </c>
      <c r="G109" s="163">
        <f t="shared" si="18"/>
        <v>3977007</v>
      </c>
      <c r="H109" s="167">
        <f t="shared" si="19"/>
        <v>526238.06841962063</v>
      </c>
      <c r="I109" s="317">
        <f t="shared" si="20"/>
        <v>526238.06841962063</v>
      </c>
      <c r="J109" s="162">
        <f t="shared" si="15"/>
        <v>0</v>
      </c>
      <c r="K109" s="162"/>
      <c r="L109" s="335"/>
      <c r="M109" s="162">
        <f t="shared" si="21"/>
        <v>0</v>
      </c>
      <c r="N109" s="335"/>
      <c r="O109" s="162">
        <f t="shared" si="22"/>
        <v>0</v>
      </c>
      <c r="P109" s="162">
        <f t="shared" si="23"/>
        <v>0</v>
      </c>
    </row>
    <row r="110" spans="1:16">
      <c r="B110" s="9" t="str">
        <f t="shared" si="14"/>
        <v/>
      </c>
      <c r="C110" s="157">
        <f>IF(D93="","-",+C109+1)</f>
        <v>2025</v>
      </c>
      <c r="D110" s="158">
        <f>IF(F109+SUM(E$99:E109)=D$92,F109,D$92-SUM(E$99:E109))</f>
        <v>3918178</v>
      </c>
      <c r="E110" s="164">
        <f t="shared" si="16"/>
        <v>117658</v>
      </c>
      <c r="F110" s="163">
        <f t="shared" si="17"/>
        <v>3800520</v>
      </c>
      <c r="G110" s="163">
        <f t="shared" si="18"/>
        <v>3859349</v>
      </c>
      <c r="H110" s="167">
        <f t="shared" si="19"/>
        <v>514150.40709789906</v>
      </c>
      <c r="I110" s="317">
        <f t="shared" si="20"/>
        <v>514150.40709789906</v>
      </c>
      <c r="J110" s="162">
        <f t="shared" si="15"/>
        <v>0</v>
      </c>
      <c r="K110" s="162"/>
      <c r="L110" s="335"/>
      <c r="M110" s="162">
        <f t="shared" si="21"/>
        <v>0</v>
      </c>
      <c r="N110" s="335"/>
      <c r="O110" s="162">
        <f t="shared" si="22"/>
        <v>0</v>
      </c>
      <c r="P110" s="162">
        <f t="shared" si="23"/>
        <v>0</v>
      </c>
    </row>
    <row r="111" spans="1:16">
      <c r="B111" s="9" t="str">
        <f t="shared" si="14"/>
        <v/>
      </c>
      <c r="C111" s="157">
        <f>IF(D93="","-",+C110+1)</f>
        <v>2026</v>
      </c>
      <c r="D111" s="158">
        <f>IF(F110+SUM(E$99:E110)=D$92,F110,D$92-SUM(E$99:E110))</f>
        <v>3800520</v>
      </c>
      <c r="E111" s="164">
        <f t="shared" si="16"/>
        <v>117658</v>
      </c>
      <c r="F111" s="163">
        <f t="shared" si="17"/>
        <v>3682862</v>
      </c>
      <c r="G111" s="163">
        <f t="shared" si="18"/>
        <v>3741691</v>
      </c>
      <c r="H111" s="167">
        <f t="shared" si="19"/>
        <v>502062.74577617756</v>
      </c>
      <c r="I111" s="317">
        <f t="shared" si="20"/>
        <v>502062.74577617756</v>
      </c>
      <c r="J111" s="162">
        <f t="shared" si="15"/>
        <v>0</v>
      </c>
      <c r="K111" s="162"/>
      <c r="L111" s="335"/>
      <c r="M111" s="162">
        <f t="shared" si="21"/>
        <v>0</v>
      </c>
      <c r="N111" s="335"/>
      <c r="O111" s="162">
        <f t="shared" si="22"/>
        <v>0</v>
      </c>
      <c r="P111" s="162">
        <f t="shared" si="23"/>
        <v>0</v>
      </c>
    </row>
    <row r="112" spans="1:16">
      <c r="B112" s="9" t="str">
        <f t="shared" si="14"/>
        <v/>
      </c>
      <c r="C112" s="157">
        <f>IF(D93="","-",+C111+1)</f>
        <v>2027</v>
      </c>
      <c r="D112" s="158">
        <f>IF(F111+SUM(E$99:E111)=D$92,F111,D$92-SUM(E$99:E111))</f>
        <v>3682862</v>
      </c>
      <c r="E112" s="164">
        <f t="shared" si="16"/>
        <v>117658</v>
      </c>
      <c r="F112" s="163">
        <f t="shared" si="17"/>
        <v>3565204</v>
      </c>
      <c r="G112" s="163">
        <f t="shared" si="18"/>
        <v>3624033</v>
      </c>
      <c r="H112" s="167">
        <f t="shared" si="19"/>
        <v>489975.08445445605</v>
      </c>
      <c r="I112" s="317">
        <f t="shared" si="20"/>
        <v>489975.08445445605</v>
      </c>
      <c r="J112" s="162">
        <f t="shared" si="15"/>
        <v>0</v>
      </c>
      <c r="K112" s="162"/>
      <c r="L112" s="335"/>
      <c r="M112" s="162">
        <f t="shared" si="21"/>
        <v>0</v>
      </c>
      <c r="N112" s="335"/>
      <c r="O112" s="162">
        <f t="shared" si="22"/>
        <v>0</v>
      </c>
      <c r="P112" s="162">
        <f t="shared" si="23"/>
        <v>0</v>
      </c>
    </row>
    <row r="113" spans="2:16">
      <c r="B113" s="9" t="str">
        <f t="shared" si="14"/>
        <v/>
      </c>
      <c r="C113" s="157">
        <f>IF(D93="","-",+C112+1)</f>
        <v>2028</v>
      </c>
      <c r="D113" s="158">
        <f>IF(F112+SUM(E$99:E112)=D$92,F112,D$92-SUM(E$99:E112))</f>
        <v>3565204</v>
      </c>
      <c r="E113" s="164">
        <f t="shared" si="16"/>
        <v>117658</v>
      </c>
      <c r="F113" s="163">
        <f t="shared" si="17"/>
        <v>3447546</v>
      </c>
      <c r="G113" s="163">
        <f t="shared" si="18"/>
        <v>3506375</v>
      </c>
      <c r="H113" s="167">
        <f t="shared" si="19"/>
        <v>477887.42313273455</v>
      </c>
      <c r="I113" s="317">
        <f t="shared" si="20"/>
        <v>477887.42313273455</v>
      </c>
      <c r="J113" s="162">
        <f t="shared" si="15"/>
        <v>0</v>
      </c>
      <c r="K113" s="162"/>
      <c r="L113" s="335"/>
      <c r="M113" s="162">
        <f t="shared" si="21"/>
        <v>0</v>
      </c>
      <c r="N113" s="335"/>
      <c r="O113" s="162">
        <f t="shared" si="22"/>
        <v>0</v>
      </c>
      <c r="P113" s="162">
        <f t="shared" si="23"/>
        <v>0</v>
      </c>
    </row>
    <row r="114" spans="2:16">
      <c r="B114" s="9" t="str">
        <f t="shared" si="14"/>
        <v/>
      </c>
      <c r="C114" s="157">
        <f>IF(D93="","-",+C113+1)</f>
        <v>2029</v>
      </c>
      <c r="D114" s="158">
        <f>IF(F113+SUM(E$99:E113)=D$92,F113,D$92-SUM(E$99:E113))</f>
        <v>3447546</v>
      </c>
      <c r="E114" s="164">
        <f t="shared" si="16"/>
        <v>117658</v>
      </c>
      <c r="F114" s="163">
        <f t="shared" si="17"/>
        <v>3329888</v>
      </c>
      <c r="G114" s="163">
        <f t="shared" si="18"/>
        <v>3388717</v>
      </c>
      <c r="H114" s="167">
        <f t="shared" si="19"/>
        <v>465799.76181101298</v>
      </c>
      <c r="I114" s="317">
        <f t="shared" si="20"/>
        <v>465799.76181101298</v>
      </c>
      <c r="J114" s="162">
        <f t="shared" si="15"/>
        <v>0</v>
      </c>
      <c r="K114" s="162"/>
      <c r="L114" s="335"/>
      <c r="M114" s="162">
        <f t="shared" si="21"/>
        <v>0</v>
      </c>
      <c r="N114" s="335"/>
      <c r="O114" s="162">
        <f t="shared" si="22"/>
        <v>0</v>
      </c>
      <c r="P114" s="162">
        <f t="shared" si="23"/>
        <v>0</v>
      </c>
    </row>
    <row r="115" spans="2:16">
      <c r="B115" s="9" t="str">
        <f t="shared" si="14"/>
        <v/>
      </c>
      <c r="C115" s="157">
        <f>IF(D93="","-",+C114+1)</f>
        <v>2030</v>
      </c>
      <c r="D115" s="158">
        <f>IF(F114+SUM(E$99:E114)=D$92,F114,D$92-SUM(E$99:E114))</f>
        <v>3329888</v>
      </c>
      <c r="E115" s="164">
        <f t="shared" si="16"/>
        <v>117658</v>
      </c>
      <c r="F115" s="163">
        <f t="shared" si="17"/>
        <v>3212230</v>
      </c>
      <c r="G115" s="163">
        <f t="shared" si="18"/>
        <v>3271059</v>
      </c>
      <c r="H115" s="167">
        <f t="shared" si="19"/>
        <v>453712.10048929148</v>
      </c>
      <c r="I115" s="317">
        <f t="shared" si="20"/>
        <v>453712.10048929148</v>
      </c>
      <c r="J115" s="162">
        <f t="shared" si="15"/>
        <v>0</v>
      </c>
      <c r="K115" s="162"/>
      <c r="L115" s="335"/>
      <c r="M115" s="162">
        <f t="shared" si="21"/>
        <v>0</v>
      </c>
      <c r="N115" s="335"/>
      <c r="O115" s="162">
        <f t="shared" si="22"/>
        <v>0</v>
      </c>
      <c r="P115" s="162">
        <f t="shared" si="23"/>
        <v>0</v>
      </c>
    </row>
    <row r="116" spans="2:16">
      <c r="B116" s="9" t="str">
        <f t="shared" si="14"/>
        <v/>
      </c>
      <c r="C116" s="157">
        <f>IF(D93="","-",+C115+1)</f>
        <v>2031</v>
      </c>
      <c r="D116" s="158">
        <f>IF(F115+SUM(E$99:E115)=D$92,F115,D$92-SUM(E$99:E115))</f>
        <v>3212230</v>
      </c>
      <c r="E116" s="164">
        <f t="shared" si="16"/>
        <v>117658</v>
      </c>
      <c r="F116" s="163">
        <f t="shared" si="17"/>
        <v>3094572</v>
      </c>
      <c r="G116" s="163">
        <f t="shared" si="18"/>
        <v>3153401</v>
      </c>
      <c r="H116" s="167">
        <f t="shared" si="19"/>
        <v>441624.43916756997</v>
      </c>
      <c r="I116" s="317">
        <f t="shared" si="20"/>
        <v>441624.43916756997</v>
      </c>
      <c r="J116" s="162">
        <f t="shared" si="15"/>
        <v>0</v>
      </c>
      <c r="K116" s="162"/>
      <c r="L116" s="335"/>
      <c r="M116" s="162">
        <f t="shared" si="21"/>
        <v>0</v>
      </c>
      <c r="N116" s="335"/>
      <c r="O116" s="162">
        <f t="shared" si="22"/>
        <v>0</v>
      </c>
      <c r="P116" s="162">
        <f t="shared" si="23"/>
        <v>0</v>
      </c>
    </row>
    <row r="117" spans="2:16">
      <c r="B117" s="9" t="str">
        <f t="shared" si="14"/>
        <v/>
      </c>
      <c r="C117" s="157">
        <f>IF(D93="","-",+C116+1)</f>
        <v>2032</v>
      </c>
      <c r="D117" s="158">
        <f>IF(F116+SUM(E$99:E116)=D$92,F116,D$92-SUM(E$99:E116))</f>
        <v>3094572</v>
      </c>
      <c r="E117" s="164">
        <f t="shared" si="16"/>
        <v>117658</v>
      </c>
      <c r="F117" s="163">
        <f t="shared" si="17"/>
        <v>2976914</v>
      </c>
      <c r="G117" s="163">
        <f t="shared" si="18"/>
        <v>3035743</v>
      </c>
      <c r="H117" s="167">
        <f t="shared" si="19"/>
        <v>429536.77784584847</v>
      </c>
      <c r="I117" s="317">
        <f t="shared" si="20"/>
        <v>429536.77784584847</v>
      </c>
      <c r="J117" s="162">
        <f t="shared" si="15"/>
        <v>0</v>
      </c>
      <c r="K117" s="162"/>
      <c r="L117" s="335"/>
      <c r="M117" s="162">
        <f t="shared" si="21"/>
        <v>0</v>
      </c>
      <c r="N117" s="335"/>
      <c r="O117" s="162">
        <f t="shared" si="22"/>
        <v>0</v>
      </c>
      <c r="P117" s="162">
        <f t="shared" si="23"/>
        <v>0</v>
      </c>
    </row>
    <row r="118" spans="2:16">
      <c r="B118" s="9" t="str">
        <f t="shared" si="14"/>
        <v/>
      </c>
      <c r="C118" s="157">
        <f>IF(D93="","-",+C117+1)</f>
        <v>2033</v>
      </c>
      <c r="D118" s="158">
        <f>IF(F117+SUM(E$99:E117)=D$92,F117,D$92-SUM(E$99:E117))</f>
        <v>2976914</v>
      </c>
      <c r="E118" s="164">
        <f t="shared" si="16"/>
        <v>117658</v>
      </c>
      <c r="F118" s="163">
        <f t="shared" si="17"/>
        <v>2859256</v>
      </c>
      <c r="G118" s="163">
        <f t="shared" si="18"/>
        <v>2918085</v>
      </c>
      <c r="H118" s="167">
        <f t="shared" si="19"/>
        <v>417449.11652412696</v>
      </c>
      <c r="I118" s="317">
        <f t="shared" si="20"/>
        <v>417449.11652412696</v>
      </c>
      <c r="J118" s="162">
        <f t="shared" si="15"/>
        <v>0</v>
      </c>
      <c r="K118" s="162"/>
      <c r="L118" s="335"/>
      <c r="M118" s="162">
        <f t="shared" si="21"/>
        <v>0</v>
      </c>
      <c r="N118" s="335"/>
      <c r="O118" s="162">
        <f t="shared" si="22"/>
        <v>0</v>
      </c>
      <c r="P118" s="162">
        <f t="shared" si="23"/>
        <v>0</v>
      </c>
    </row>
    <row r="119" spans="2:16">
      <c r="B119" s="9" t="str">
        <f t="shared" si="14"/>
        <v/>
      </c>
      <c r="C119" s="157">
        <f>IF(D93="","-",+C118+1)</f>
        <v>2034</v>
      </c>
      <c r="D119" s="158">
        <f>IF(F118+SUM(E$99:E118)=D$92,F118,D$92-SUM(E$99:E118))</f>
        <v>2859256</v>
      </c>
      <c r="E119" s="164">
        <f t="shared" si="16"/>
        <v>117658</v>
      </c>
      <c r="F119" s="163">
        <f t="shared" si="17"/>
        <v>2741598</v>
      </c>
      <c r="G119" s="163">
        <f t="shared" si="18"/>
        <v>2800427</v>
      </c>
      <c r="H119" s="167">
        <f t="shared" si="19"/>
        <v>405361.45520240546</v>
      </c>
      <c r="I119" s="317">
        <f t="shared" si="20"/>
        <v>405361.45520240546</v>
      </c>
      <c r="J119" s="162">
        <f t="shared" si="15"/>
        <v>0</v>
      </c>
      <c r="K119" s="162"/>
      <c r="L119" s="335"/>
      <c r="M119" s="162">
        <f t="shared" si="21"/>
        <v>0</v>
      </c>
      <c r="N119" s="335"/>
      <c r="O119" s="162">
        <f t="shared" si="22"/>
        <v>0</v>
      </c>
      <c r="P119" s="162">
        <f t="shared" si="23"/>
        <v>0</v>
      </c>
    </row>
    <row r="120" spans="2:16">
      <c r="B120" s="9" t="str">
        <f t="shared" si="14"/>
        <v/>
      </c>
      <c r="C120" s="157">
        <f>IF(D93="","-",+C119+1)</f>
        <v>2035</v>
      </c>
      <c r="D120" s="158">
        <f>IF(F119+SUM(E$99:E119)=D$92,F119,D$92-SUM(E$99:E119))</f>
        <v>2741598</v>
      </c>
      <c r="E120" s="164">
        <f t="shared" si="16"/>
        <v>117658</v>
      </c>
      <c r="F120" s="163">
        <f t="shared" si="17"/>
        <v>2623940</v>
      </c>
      <c r="G120" s="163">
        <f t="shared" si="18"/>
        <v>2682769</v>
      </c>
      <c r="H120" s="167">
        <f t="shared" si="19"/>
        <v>393273.79388068389</v>
      </c>
      <c r="I120" s="317">
        <f t="shared" si="20"/>
        <v>393273.79388068389</v>
      </c>
      <c r="J120" s="162">
        <f t="shared" si="15"/>
        <v>0</v>
      </c>
      <c r="K120" s="162"/>
      <c r="L120" s="335"/>
      <c r="M120" s="162">
        <f t="shared" si="21"/>
        <v>0</v>
      </c>
      <c r="N120" s="335"/>
      <c r="O120" s="162">
        <f t="shared" si="22"/>
        <v>0</v>
      </c>
      <c r="P120" s="162">
        <f t="shared" si="23"/>
        <v>0</v>
      </c>
    </row>
    <row r="121" spans="2:16">
      <c r="B121" s="9" t="str">
        <f t="shared" si="14"/>
        <v/>
      </c>
      <c r="C121" s="157">
        <f>IF(D93="","-",+C120+1)</f>
        <v>2036</v>
      </c>
      <c r="D121" s="158">
        <f>IF(F120+SUM(E$99:E120)=D$92,F120,D$92-SUM(E$99:E120))</f>
        <v>2623940</v>
      </c>
      <c r="E121" s="164">
        <f t="shared" si="16"/>
        <v>117658</v>
      </c>
      <c r="F121" s="163">
        <f t="shared" si="17"/>
        <v>2506282</v>
      </c>
      <c r="G121" s="163">
        <f t="shared" si="18"/>
        <v>2565111</v>
      </c>
      <c r="H121" s="167">
        <f t="shared" si="19"/>
        <v>381186.13255896239</v>
      </c>
      <c r="I121" s="317">
        <f t="shared" si="20"/>
        <v>381186.13255896239</v>
      </c>
      <c r="J121" s="162">
        <f t="shared" si="15"/>
        <v>0</v>
      </c>
      <c r="K121" s="162"/>
      <c r="L121" s="335"/>
      <c r="M121" s="162">
        <f t="shared" si="21"/>
        <v>0</v>
      </c>
      <c r="N121" s="335"/>
      <c r="O121" s="162">
        <f t="shared" si="22"/>
        <v>0</v>
      </c>
      <c r="P121" s="162">
        <f t="shared" si="23"/>
        <v>0</v>
      </c>
    </row>
    <row r="122" spans="2:16">
      <c r="B122" s="9" t="str">
        <f t="shared" si="14"/>
        <v/>
      </c>
      <c r="C122" s="157">
        <f>IF(D93="","-",+C121+1)</f>
        <v>2037</v>
      </c>
      <c r="D122" s="158">
        <f>IF(F121+SUM(E$99:E121)=D$92,F121,D$92-SUM(E$99:E121))</f>
        <v>2506282</v>
      </c>
      <c r="E122" s="164">
        <f t="shared" si="16"/>
        <v>117658</v>
      </c>
      <c r="F122" s="163">
        <f t="shared" si="17"/>
        <v>2388624</v>
      </c>
      <c r="G122" s="163">
        <f t="shared" si="18"/>
        <v>2447453</v>
      </c>
      <c r="H122" s="167">
        <f t="shared" si="19"/>
        <v>369098.47123724088</v>
      </c>
      <c r="I122" s="317">
        <f t="shared" si="20"/>
        <v>369098.47123724088</v>
      </c>
      <c r="J122" s="162">
        <f t="shared" si="15"/>
        <v>0</v>
      </c>
      <c r="K122" s="162"/>
      <c r="L122" s="335"/>
      <c r="M122" s="162">
        <f t="shared" si="21"/>
        <v>0</v>
      </c>
      <c r="N122" s="335"/>
      <c r="O122" s="162">
        <f t="shared" si="22"/>
        <v>0</v>
      </c>
      <c r="P122" s="162">
        <f t="shared" si="23"/>
        <v>0</v>
      </c>
    </row>
    <row r="123" spans="2:16">
      <c r="B123" s="9" t="str">
        <f t="shared" si="14"/>
        <v/>
      </c>
      <c r="C123" s="157">
        <f>IF(D93="","-",+C122+1)</f>
        <v>2038</v>
      </c>
      <c r="D123" s="158">
        <f>IF(F122+SUM(E$99:E122)=D$92,F122,D$92-SUM(E$99:E122))</f>
        <v>2388624</v>
      </c>
      <c r="E123" s="164">
        <f t="shared" si="16"/>
        <v>117658</v>
      </c>
      <c r="F123" s="163">
        <f t="shared" si="17"/>
        <v>2270966</v>
      </c>
      <c r="G123" s="163">
        <f t="shared" si="18"/>
        <v>2329795</v>
      </c>
      <c r="H123" s="167">
        <f t="shared" si="19"/>
        <v>357010.80991551938</v>
      </c>
      <c r="I123" s="317">
        <f t="shared" si="20"/>
        <v>357010.80991551938</v>
      </c>
      <c r="J123" s="162">
        <f t="shared" si="15"/>
        <v>0</v>
      </c>
      <c r="K123" s="162"/>
      <c r="L123" s="335"/>
      <c r="M123" s="162">
        <f t="shared" si="21"/>
        <v>0</v>
      </c>
      <c r="N123" s="335"/>
      <c r="O123" s="162">
        <f t="shared" si="22"/>
        <v>0</v>
      </c>
      <c r="P123" s="162">
        <f t="shared" si="23"/>
        <v>0</v>
      </c>
    </row>
    <row r="124" spans="2:16">
      <c r="B124" s="9" t="str">
        <f t="shared" si="14"/>
        <v/>
      </c>
      <c r="C124" s="157">
        <f>IF(D93="","-",+C123+1)</f>
        <v>2039</v>
      </c>
      <c r="D124" s="158">
        <f>IF(F123+SUM(E$99:E123)=D$92,F123,D$92-SUM(E$99:E123))</f>
        <v>2270966</v>
      </c>
      <c r="E124" s="164">
        <f t="shared" si="16"/>
        <v>117658</v>
      </c>
      <c r="F124" s="163">
        <f t="shared" si="17"/>
        <v>2153308</v>
      </c>
      <c r="G124" s="163">
        <f t="shared" si="18"/>
        <v>2212137</v>
      </c>
      <c r="H124" s="167">
        <f t="shared" si="19"/>
        <v>344923.14859379781</v>
      </c>
      <c r="I124" s="317">
        <f t="shared" si="20"/>
        <v>344923.14859379781</v>
      </c>
      <c r="J124" s="162">
        <f t="shared" si="15"/>
        <v>0</v>
      </c>
      <c r="K124" s="162"/>
      <c r="L124" s="335"/>
      <c r="M124" s="162">
        <f t="shared" si="21"/>
        <v>0</v>
      </c>
      <c r="N124" s="335"/>
      <c r="O124" s="162">
        <f t="shared" si="22"/>
        <v>0</v>
      </c>
      <c r="P124" s="162">
        <f t="shared" si="23"/>
        <v>0</v>
      </c>
    </row>
    <row r="125" spans="2:16">
      <c r="B125" s="9" t="str">
        <f t="shared" si="14"/>
        <v/>
      </c>
      <c r="C125" s="157">
        <f>IF(D93="","-",+C124+1)</f>
        <v>2040</v>
      </c>
      <c r="D125" s="158">
        <f>IF(F124+SUM(E$99:E124)=D$92,F124,D$92-SUM(E$99:E124))</f>
        <v>2153308</v>
      </c>
      <c r="E125" s="164">
        <f t="shared" si="16"/>
        <v>117658</v>
      </c>
      <c r="F125" s="163">
        <f t="shared" si="17"/>
        <v>2035650</v>
      </c>
      <c r="G125" s="163">
        <f t="shared" si="18"/>
        <v>2094479</v>
      </c>
      <c r="H125" s="167">
        <f t="shared" si="19"/>
        <v>332835.48727207631</v>
      </c>
      <c r="I125" s="317">
        <f t="shared" si="20"/>
        <v>332835.48727207631</v>
      </c>
      <c r="J125" s="162">
        <f t="shared" si="15"/>
        <v>0</v>
      </c>
      <c r="K125" s="162"/>
      <c r="L125" s="335"/>
      <c r="M125" s="162">
        <f t="shared" si="21"/>
        <v>0</v>
      </c>
      <c r="N125" s="335"/>
      <c r="O125" s="162">
        <f t="shared" si="22"/>
        <v>0</v>
      </c>
      <c r="P125" s="162">
        <f t="shared" si="23"/>
        <v>0</v>
      </c>
    </row>
    <row r="126" spans="2:16">
      <c r="B126" s="9" t="str">
        <f t="shared" si="14"/>
        <v/>
      </c>
      <c r="C126" s="157">
        <f>IF(D93="","-",+C125+1)</f>
        <v>2041</v>
      </c>
      <c r="D126" s="158">
        <f>IF(F125+SUM(E$99:E125)=D$92,F125,D$92-SUM(E$99:E125))</f>
        <v>2035650</v>
      </c>
      <c r="E126" s="164">
        <f t="shared" si="16"/>
        <v>117658</v>
      </c>
      <c r="F126" s="163">
        <f t="shared" si="17"/>
        <v>1917992</v>
      </c>
      <c r="G126" s="163">
        <f t="shared" si="18"/>
        <v>1976821</v>
      </c>
      <c r="H126" s="167">
        <f t="shared" si="19"/>
        <v>320747.8259503548</v>
      </c>
      <c r="I126" s="317">
        <f t="shared" si="20"/>
        <v>320747.8259503548</v>
      </c>
      <c r="J126" s="162">
        <f t="shared" si="15"/>
        <v>0</v>
      </c>
      <c r="K126" s="162"/>
      <c r="L126" s="335"/>
      <c r="M126" s="162">
        <f t="shared" si="21"/>
        <v>0</v>
      </c>
      <c r="N126" s="335"/>
      <c r="O126" s="162">
        <f t="shared" si="22"/>
        <v>0</v>
      </c>
      <c r="P126" s="162">
        <f t="shared" si="23"/>
        <v>0</v>
      </c>
    </row>
    <row r="127" spans="2:16">
      <c r="B127" s="9" t="str">
        <f t="shared" si="14"/>
        <v/>
      </c>
      <c r="C127" s="157">
        <f>IF(D93="","-",+C126+1)</f>
        <v>2042</v>
      </c>
      <c r="D127" s="158">
        <f>IF(F126+SUM(E$99:E126)=D$92,F126,D$92-SUM(E$99:E126))</f>
        <v>1917992</v>
      </c>
      <c r="E127" s="164">
        <f t="shared" si="16"/>
        <v>117658</v>
      </c>
      <c r="F127" s="163">
        <f t="shared" si="17"/>
        <v>1800334</v>
      </c>
      <c r="G127" s="163">
        <f t="shared" si="18"/>
        <v>1859163</v>
      </c>
      <c r="H127" s="167">
        <f t="shared" si="19"/>
        <v>308660.1646286333</v>
      </c>
      <c r="I127" s="317">
        <f t="shared" si="20"/>
        <v>308660.1646286333</v>
      </c>
      <c r="J127" s="162">
        <f t="shared" si="15"/>
        <v>0</v>
      </c>
      <c r="K127" s="162"/>
      <c r="L127" s="335"/>
      <c r="M127" s="162">
        <f t="shared" si="21"/>
        <v>0</v>
      </c>
      <c r="N127" s="335"/>
      <c r="O127" s="162">
        <f t="shared" si="22"/>
        <v>0</v>
      </c>
      <c r="P127" s="162">
        <f t="shared" si="23"/>
        <v>0</v>
      </c>
    </row>
    <row r="128" spans="2:16">
      <c r="B128" s="9" t="str">
        <f t="shared" si="14"/>
        <v/>
      </c>
      <c r="C128" s="157">
        <f>IF(D93="","-",+C127+1)</f>
        <v>2043</v>
      </c>
      <c r="D128" s="158">
        <f>IF(F127+SUM(E$99:E127)=D$92,F127,D$92-SUM(E$99:E127))</f>
        <v>1800334</v>
      </c>
      <c r="E128" s="164">
        <f t="shared" si="16"/>
        <v>117658</v>
      </c>
      <c r="F128" s="163">
        <f t="shared" si="17"/>
        <v>1682676</v>
      </c>
      <c r="G128" s="163">
        <f t="shared" si="18"/>
        <v>1741505</v>
      </c>
      <c r="H128" s="167">
        <f t="shared" si="19"/>
        <v>296572.50330691179</v>
      </c>
      <c r="I128" s="317">
        <f t="shared" si="20"/>
        <v>296572.50330691179</v>
      </c>
      <c r="J128" s="162">
        <f t="shared" si="15"/>
        <v>0</v>
      </c>
      <c r="K128" s="162"/>
      <c r="L128" s="335"/>
      <c r="M128" s="162">
        <f t="shared" si="21"/>
        <v>0</v>
      </c>
      <c r="N128" s="335"/>
      <c r="O128" s="162">
        <f t="shared" si="22"/>
        <v>0</v>
      </c>
      <c r="P128" s="162">
        <f t="shared" si="23"/>
        <v>0</v>
      </c>
    </row>
    <row r="129" spans="2:16">
      <c r="B129" s="9" t="str">
        <f t="shared" si="14"/>
        <v/>
      </c>
      <c r="C129" s="157">
        <f>IF(D93="","-",+C128+1)</f>
        <v>2044</v>
      </c>
      <c r="D129" s="158">
        <f>IF(F128+SUM(E$99:E128)=D$92,F128,D$92-SUM(E$99:E128))</f>
        <v>1682676</v>
      </c>
      <c r="E129" s="164">
        <f t="shared" si="16"/>
        <v>117658</v>
      </c>
      <c r="F129" s="163">
        <f t="shared" si="17"/>
        <v>1565018</v>
      </c>
      <c r="G129" s="163">
        <f t="shared" si="18"/>
        <v>1623847</v>
      </c>
      <c r="H129" s="167">
        <f t="shared" si="19"/>
        <v>284484.84198519029</v>
      </c>
      <c r="I129" s="317">
        <f t="shared" si="20"/>
        <v>284484.84198519029</v>
      </c>
      <c r="J129" s="162">
        <f t="shared" si="15"/>
        <v>0</v>
      </c>
      <c r="K129" s="162"/>
      <c r="L129" s="335"/>
      <c r="M129" s="162">
        <f t="shared" si="21"/>
        <v>0</v>
      </c>
      <c r="N129" s="335"/>
      <c r="O129" s="162">
        <f t="shared" si="22"/>
        <v>0</v>
      </c>
      <c r="P129" s="162">
        <f t="shared" si="23"/>
        <v>0</v>
      </c>
    </row>
    <row r="130" spans="2:16">
      <c r="B130" s="9" t="str">
        <f t="shared" si="14"/>
        <v/>
      </c>
      <c r="C130" s="157">
        <f>IF(D93="","-",+C129+1)</f>
        <v>2045</v>
      </c>
      <c r="D130" s="158">
        <f>IF(F129+SUM(E$99:E129)=D$92,F129,D$92-SUM(E$99:E129))</f>
        <v>1565018</v>
      </c>
      <c r="E130" s="164">
        <f t="shared" si="16"/>
        <v>117658</v>
      </c>
      <c r="F130" s="163">
        <f t="shared" si="17"/>
        <v>1447360</v>
      </c>
      <c r="G130" s="163">
        <f t="shared" si="18"/>
        <v>1506189</v>
      </c>
      <c r="H130" s="167">
        <f t="shared" si="19"/>
        <v>272397.18066346878</v>
      </c>
      <c r="I130" s="317">
        <f t="shared" si="20"/>
        <v>272397.18066346878</v>
      </c>
      <c r="J130" s="162">
        <f t="shared" si="15"/>
        <v>0</v>
      </c>
      <c r="K130" s="162"/>
      <c r="L130" s="335"/>
      <c r="M130" s="162">
        <f t="shared" si="21"/>
        <v>0</v>
      </c>
      <c r="N130" s="335"/>
      <c r="O130" s="162">
        <f t="shared" si="22"/>
        <v>0</v>
      </c>
      <c r="P130" s="162">
        <f t="shared" si="23"/>
        <v>0</v>
      </c>
    </row>
    <row r="131" spans="2:16">
      <c r="B131" s="9" t="str">
        <f t="shared" si="14"/>
        <v/>
      </c>
      <c r="C131" s="157">
        <f>IF(D93="","-",+C130+1)</f>
        <v>2046</v>
      </c>
      <c r="D131" s="158">
        <f>IF(F130+SUM(E$99:E130)=D$92,F130,D$92-SUM(E$99:E130))</f>
        <v>1447360</v>
      </c>
      <c r="E131" s="164">
        <f t="shared" si="16"/>
        <v>117658</v>
      </c>
      <c r="F131" s="163">
        <f t="shared" si="17"/>
        <v>1329702</v>
      </c>
      <c r="G131" s="163">
        <f t="shared" si="18"/>
        <v>1388531</v>
      </c>
      <c r="H131" s="167">
        <f t="shared" si="19"/>
        <v>260309.51934174725</v>
      </c>
      <c r="I131" s="317">
        <f t="shared" si="20"/>
        <v>260309.51934174725</v>
      </c>
      <c r="J131" s="162">
        <f t="shared" si="15"/>
        <v>0</v>
      </c>
      <c r="K131" s="162"/>
      <c r="L131" s="335"/>
      <c r="M131" s="162">
        <f t="shared" ref="M131:M154" si="24">IF(L541&lt;&gt;0,+H541-L541,0)</f>
        <v>0</v>
      </c>
      <c r="N131" s="335"/>
      <c r="O131" s="162">
        <f t="shared" ref="O131:O154" si="25">IF(N541&lt;&gt;0,+I541-N541,0)</f>
        <v>0</v>
      </c>
      <c r="P131" s="162">
        <f t="shared" ref="P131:P154" si="26">+O541-M541</f>
        <v>0</v>
      </c>
    </row>
    <row r="132" spans="2:16">
      <c r="B132" s="9" t="str">
        <f t="shared" si="14"/>
        <v/>
      </c>
      <c r="C132" s="157">
        <f>IF(D93="","-",+C131+1)</f>
        <v>2047</v>
      </c>
      <c r="D132" s="158">
        <f>IF(F131+SUM(E$99:E131)=D$92,F131,D$92-SUM(E$99:E131))</f>
        <v>1329702</v>
      </c>
      <c r="E132" s="164">
        <f t="shared" si="16"/>
        <v>117658</v>
      </c>
      <c r="F132" s="163">
        <f t="shared" si="17"/>
        <v>1212044</v>
      </c>
      <c r="G132" s="163">
        <f t="shared" si="18"/>
        <v>1270873</v>
      </c>
      <c r="H132" s="167">
        <f t="shared" si="19"/>
        <v>248221.85802002571</v>
      </c>
      <c r="I132" s="317">
        <f t="shared" si="20"/>
        <v>248221.85802002571</v>
      </c>
      <c r="J132" s="162">
        <f t="shared" si="15"/>
        <v>0</v>
      </c>
      <c r="K132" s="162"/>
      <c r="L132" s="335"/>
      <c r="M132" s="162">
        <f t="shared" si="24"/>
        <v>0</v>
      </c>
      <c r="N132" s="335"/>
      <c r="O132" s="162">
        <f t="shared" si="25"/>
        <v>0</v>
      </c>
      <c r="P132" s="162">
        <f t="shared" si="26"/>
        <v>0</v>
      </c>
    </row>
    <row r="133" spans="2:16">
      <c r="B133" s="9" t="str">
        <f t="shared" si="14"/>
        <v/>
      </c>
      <c r="C133" s="157">
        <f>IF(D93="","-",+C132+1)</f>
        <v>2048</v>
      </c>
      <c r="D133" s="158">
        <f>IF(F132+SUM(E$99:E132)=D$92,F132,D$92-SUM(E$99:E132))</f>
        <v>1212044</v>
      </c>
      <c r="E133" s="164">
        <f t="shared" si="16"/>
        <v>117658</v>
      </c>
      <c r="F133" s="163">
        <f t="shared" si="17"/>
        <v>1094386</v>
      </c>
      <c r="G133" s="163">
        <f t="shared" si="18"/>
        <v>1153215</v>
      </c>
      <c r="H133" s="167">
        <f t="shared" si="19"/>
        <v>236134.19669830421</v>
      </c>
      <c r="I133" s="317">
        <f t="shared" si="20"/>
        <v>236134.19669830421</v>
      </c>
      <c r="J133" s="162">
        <f t="shared" si="15"/>
        <v>0</v>
      </c>
      <c r="K133" s="162"/>
      <c r="L133" s="335"/>
      <c r="M133" s="162">
        <f t="shared" si="24"/>
        <v>0</v>
      </c>
      <c r="N133" s="335"/>
      <c r="O133" s="162">
        <f t="shared" si="25"/>
        <v>0</v>
      </c>
      <c r="P133" s="162">
        <f t="shared" si="26"/>
        <v>0</v>
      </c>
    </row>
    <row r="134" spans="2:16">
      <c r="B134" s="9" t="str">
        <f t="shared" si="14"/>
        <v/>
      </c>
      <c r="C134" s="157">
        <f>IF(D93="","-",+C133+1)</f>
        <v>2049</v>
      </c>
      <c r="D134" s="158">
        <f>IF(F133+SUM(E$99:E133)=D$92,F133,D$92-SUM(E$99:E133))</f>
        <v>1094386</v>
      </c>
      <c r="E134" s="164">
        <f t="shared" si="16"/>
        <v>117658</v>
      </c>
      <c r="F134" s="163">
        <f t="shared" si="17"/>
        <v>976728</v>
      </c>
      <c r="G134" s="163">
        <f t="shared" si="18"/>
        <v>1035557</v>
      </c>
      <c r="H134" s="167">
        <f t="shared" si="19"/>
        <v>224046.5353765827</v>
      </c>
      <c r="I134" s="317">
        <f t="shared" si="20"/>
        <v>224046.5353765827</v>
      </c>
      <c r="J134" s="162">
        <f t="shared" si="15"/>
        <v>0</v>
      </c>
      <c r="K134" s="162"/>
      <c r="L134" s="335"/>
      <c r="M134" s="162">
        <f t="shared" si="24"/>
        <v>0</v>
      </c>
      <c r="N134" s="335"/>
      <c r="O134" s="162">
        <f t="shared" si="25"/>
        <v>0</v>
      </c>
      <c r="P134" s="162">
        <f t="shared" si="26"/>
        <v>0</v>
      </c>
    </row>
    <row r="135" spans="2:16">
      <c r="B135" s="9" t="str">
        <f t="shared" si="14"/>
        <v/>
      </c>
      <c r="C135" s="157">
        <f>IF(D93="","-",+C134+1)</f>
        <v>2050</v>
      </c>
      <c r="D135" s="158">
        <f>IF(F134+SUM(E$99:E134)=D$92,F134,D$92-SUM(E$99:E134))</f>
        <v>976728</v>
      </c>
      <c r="E135" s="164">
        <f t="shared" si="16"/>
        <v>117658</v>
      </c>
      <c r="F135" s="163">
        <f t="shared" si="17"/>
        <v>859070</v>
      </c>
      <c r="G135" s="163">
        <f t="shared" si="18"/>
        <v>917899</v>
      </c>
      <c r="H135" s="167">
        <f t="shared" si="19"/>
        <v>211958.8740548612</v>
      </c>
      <c r="I135" s="317">
        <f t="shared" si="20"/>
        <v>211958.8740548612</v>
      </c>
      <c r="J135" s="162">
        <f t="shared" si="15"/>
        <v>0</v>
      </c>
      <c r="K135" s="162"/>
      <c r="L135" s="335"/>
      <c r="M135" s="162">
        <f t="shared" si="24"/>
        <v>0</v>
      </c>
      <c r="N135" s="335"/>
      <c r="O135" s="162">
        <f t="shared" si="25"/>
        <v>0</v>
      </c>
      <c r="P135" s="162">
        <f t="shared" si="26"/>
        <v>0</v>
      </c>
    </row>
    <row r="136" spans="2:16">
      <c r="B136" s="9" t="str">
        <f t="shared" si="14"/>
        <v/>
      </c>
      <c r="C136" s="157">
        <f>IF(D93="","-",+C135+1)</f>
        <v>2051</v>
      </c>
      <c r="D136" s="158">
        <f>IF(F135+SUM(E$99:E135)=D$92,F135,D$92-SUM(E$99:E135))</f>
        <v>859070</v>
      </c>
      <c r="E136" s="164">
        <f t="shared" si="16"/>
        <v>117658</v>
      </c>
      <c r="F136" s="163">
        <f t="shared" si="17"/>
        <v>741412</v>
      </c>
      <c r="G136" s="163">
        <f t="shared" si="18"/>
        <v>800241</v>
      </c>
      <c r="H136" s="167">
        <f t="shared" si="19"/>
        <v>199871.21273313969</v>
      </c>
      <c r="I136" s="317">
        <f t="shared" si="20"/>
        <v>199871.21273313969</v>
      </c>
      <c r="J136" s="162">
        <f t="shared" si="15"/>
        <v>0</v>
      </c>
      <c r="K136" s="162"/>
      <c r="L136" s="335"/>
      <c r="M136" s="162">
        <f t="shared" si="24"/>
        <v>0</v>
      </c>
      <c r="N136" s="335"/>
      <c r="O136" s="162">
        <f t="shared" si="25"/>
        <v>0</v>
      </c>
      <c r="P136" s="162">
        <f t="shared" si="26"/>
        <v>0</v>
      </c>
    </row>
    <row r="137" spans="2:16">
      <c r="B137" s="9" t="str">
        <f t="shared" si="14"/>
        <v/>
      </c>
      <c r="C137" s="157">
        <f>IF(D93="","-",+C136+1)</f>
        <v>2052</v>
      </c>
      <c r="D137" s="158">
        <f>IF(F136+SUM(E$99:E136)=D$92,F136,D$92-SUM(E$99:E136))</f>
        <v>741412</v>
      </c>
      <c r="E137" s="164">
        <f t="shared" si="16"/>
        <v>117658</v>
      </c>
      <c r="F137" s="163">
        <f t="shared" si="17"/>
        <v>623754</v>
      </c>
      <c r="G137" s="163">
        <f t="shared" si="18"/>
        <v>682583</v>
      </c>
      <c r="H137" s="167">
        <f t="shared" si="19"/>
        <v>187783.55141141816</v>
      </c>
      <c r="I137" s="317">
        <f t="shared" si="20"/>
        <v>187783.55141141816</v>
      </c>
      <c r="J137" s="162">
        <f t="shared" si="15"/>
        <v>0</v>
      </c>
      <c r="K137" s="162"/>
      <c r="L137" s="335"/>
      <c r="M137" s="162">
        <f t="shared" si="24"/>
        <v>0</v>
      </c>
      <c r="N137" s="335"/>
      <c r="O137" s="162">
        <f t="shared" si="25"/>
        <v>0</v>
      </c>
      <c r="P137" s="162">
        <f t="shared" si="26"/>
        <v>0</v>
      </c>
    </row>
    <row r="138" spans="2:16">
      <c r="B138" s="9" t="str">
        <f t="shared" si="14"/>
        <v/>
      </c>
      <c r="C138" s="157">
        <f>IF(D93="","-",+C137+1)</f>
        <v>2053</v>
      </c>
      <c r="D138" s="158">
        <f>IF(F137+SUM(E$99:E137)=D$92,F137,D$92-SUM(E$99:E137))</f>
        <v>623754</v>
      </c>
      <c r="E138" s="164">
        <f t="shared" si="16"/>
        <v>117658</v>
      </c>
      <c r="F138" s="163">
        <f t="shared" si="17"/>
        <v>506096</v>
      </c>
      <c r="G138" s="163">
        <f t="shared" si="18"/>
        <v>564925</v>
      </c>
      <c r="H138" s="167">
        <f t="shared" si="19"/>
        <v>175695.89008969662</v>
      </c>
      <c r="I138" s="317">
        <f t="shared" si="20"/>
        <v>175695.89008969662</v>
      </c>
      <c r="J138" s="162">
        <f t="shared" si="15"/>
        <v>0</v>
      </c>
      <c r="K138" s="162"/>
      <c r="L138" s="335"/>
      <c r="M138" s="162">
        <f t="shared" si="24"/>
        <v>0</v>
      </c>
      <c r="N138" s="335"/>
      <c r="O138" s="162">
        <f t="shared" si="25"/>
        <v>0</v>
      </c>
      <c r="P138" s="162">
        <f t="shared" si="26"/>
        <v>0</v>
      </c>
    </row>
    <row r="139" spans="2:16">
      <c r="B139" s="9" t="str">
        <f t="shared" si="14"/>
        <v/>
      </c>
      <c r="C139" s="157">
        <f>IF(D93="","-",+C138+1)</f>
        <v>2054</v>
      </c>
      <c r="D139" s="158">
        <f>IF(F138+SUM(E$99:E138)=D$92,F138,D$92-SUM(E$99:E138))</f>
        <v>506096</v>
      </c>
      <c r="E139" s="164">
        <f t="shared" si="16"/>
        <v>117658</v>
      </c>
      <c r="F139" s="163">
        <f t="shared" si="17"/>
        <v>388438</v>
      </c>
      <c r="G139" s="163">
        <f t="shared" si="18"/>
        <v>447267</v>
      </c>
      <c r="H139" s="167">
        <f t="shared" si="19"/>
        <v>163608.22876797512</v>
      </c>
      <c r="I139" s="317">
        <f t="shared" si="20"/>
        <v>163608.22876797512</v>
      </c>
      <c r="J139" s="162">
        <f t="shared" si="15"/>
        <v>0</v>
      </c>
      <c r="K139" s="162"/>
      <c r="L139" s="335"/>
      <c r="M139" s="162">
        <f t="shared" si="24"/>
        <v>0</v>
      </c>
      <c r="N139" s="335"/>
      <c r="O139" s="162">
        <f t="shared" si="25"/>
        <v>0</v>
      </c>
      <c r="P139" s="162">
        <f t="shared" si="26"/>
        <v>0</v>
      </c>
    </row>
    <row r="140" spans="2:16">
      <c r="B140" s="9" t="str">
        <f t="shared" si="14"/>
        <v/>
      </c>
      <c r="C140" s="157">
        <f>IF(D93="","-",+C139+1)</f>
        <v>2055</v>
      </c>
      <c r="D140" s="158">
        <f>IF(F139+SUM(E$99:E139)=D$92,F139,D$92-SUM(E$99:E139))</f>
        <v>388438</v>
      </c>
      <c r="E140" s="164">
        <f t="shared" si="16"/>
        <v>117658</v>
      </c>
      <c r="F140" s="163">
        <f t="shared" si="17"/>
        <v>270780</v>
      </c>
      <c r="G140" s="163">
        <f t="shared" si="18"/>
        <v>329609</v>
      </c>
      <c r="H140" s="167">
        <f t="shared" si="19"/>
        <v>151520.56744625361</v>
      </c>
      <c r="I140" s="317">
        <f t="shared" si="20"/>
        <v>151520.56744625361</v>
      </c>
      <c r="J140" s="162">
        <f t="shared" si="15"/>
        <v>0</v>
      </c>
      <c r="K140" s="162"/>
      <c r="L140" s="335"/>
      <c r="M140" s="162">
        <f t="shared" si="24"/>
        <v>0</v>
      </c>
      <c r="N140" s="335"/>
      <c r="O140" s="162">
        <f t="shared" si="25"/>
        <v>0</v>
      </c>
      <c r="P140" s="162">
        <f t="shared" si="26"/>
        <v>0</v>
      </c>
    </row>
    <row r="141" spans="2:16">
      <c r="B141" s="9" t="str">
        <f t="shared" si="14"/>
        <v/>
      </c>
      <c r="C141" s="157">
        <f>IF(D93="","-",+C140+1)</f>
        <v>2056</v>
      </c>
      <c r="D141" s="158">
        <f>IF(F140+SUM(E$99:E140)=D$92,F140,D$92-SUM(E$99:E140))</f>
        <v>270780</v>
      </c>
      <c r="E141" s="164">
        <f t="shared" si="16"/>
        <v>117658</v>
      </c>
      <c r="F141" s="163">
        <f t="shared" si="17"/>
        <v>153122</v>
      </c>
      <c r="G141" s="163">
        <f t="shared" si="18"/>
        <v>211951</v>
      </c>
      <c r="H141" s="167">
        <f t="shared" si="19"/>
        <v>139432.90612453211</v>
      </c>
      <c r="I141" s="317">
        <f t="shared" si="20"/>
        <v>139432.90612453211</v>
      </c>
      <c r="J141" s="162">
        <f t="shared" si="15"/>
        <v>0</v>
      </c>
      <c r="K141" s="162"/>
      <c r="L141" s="335"/>
      <c r="M141" s="162">
        <f t="shared" si="24"/>
        <v>0</v>
      </c>
      <c r="N141" s="335"/>
      <c r="O141" s="162">
        <f t="shared" si="25"/>
        <v>0</v>
      </c>
      <c r="P141" s="162">
        <f t="shared" si="26"/>
        <v>0</v>
      </c>
    </row>
    <row r="142" spans="2:16">
      <c r="B142" s="9" t="str">
        <f t="shared" si="14"/>
        <v/>
      </c>
      <c r="C142" s="157">
        <f>IF(D93="","-",+C141+1)</f>
        <v>2057</v>
      </c>
      <c r="D142" s="158">
        <f>IF(F141+SUM(E$99:E141)=D$92,F141,D$92-SUM(E$99:E141))</f>
        <v>153122</v>
      </c>
      <c r="E142" s="164">
        <f t="shared" si="16"/>
        <v>117658</v>
      </c>
      <c r="F142" s="163">
        <f t="shared" si="17"/>
        <v>35464</v>
      </c>
      <c r="G142" s="163">
        <f t="shared" si="18"/>
        <v>94293</v>
      </c>
      <c r="H142" s="167">
        <f t="shared" si="19"/>
        <v>127345.24480281057</v>
      </c>
      <c r="I142" s="317">
        <f t="shared" si="20"/>
        <v>127345.24480281057</v>
      </c>
      <c r="J142" s="162">
        <f t="shared" si="15"/>
        <v>0</v>
      </c>
      <c r="K142" s="162"/>
      <c r="L142" s="335"/>
      <c r="M142" s="162">
        <f t="shared" si="24"/>
        <v>0</v>
      </c>
      <c r="N142" s="335"/>
      <c r="O142" s="162">
        <f t="shared" si="25"/>
        <v>0</v>
      </c>
      <c r="P142" s="162">
        <f t="shared" si="26"/>
        <v>0</v>
      </c>
    </row>
    <row r="143" spans="2:16">
      <c r="B143" s="9" t="str">
        <f t="shared" si="14"/>
        <v/>
      </c>
      <c r="C143" s="157">
        <f>IF(D93="","-",+C142+1)</f>
        <v>2058</v>
      </c>
      <c r="D143" s="158">
        <f>IF(F142+SUM(E$99:E142)=D$92,F142,D$92-SUM(E$99:E142))</f>
        <v>35464</v>
      </c>
      <c r="E143" s="164">
        <f t="shared" si="16"/>
        <v>35464</v>
      </c>
      <c r="F143" s="163">
        <f t="shared" si="17"/>
        <v>0</v>
      </c>
      <c r="G143" s="163">
        <f t="shared" si="18"/>
        <v>17732</v>
      </c>
      <c r="H143" s="167">
        <f t="shared" si="19"/>
        <v>37285.70707097491</v>
      </c>
      <c r="I143" s="317">
        <f t="shared" si="20"/>
        <v>37285.70707097491</v>
      </c>
      <c r="J143" s="162">
        <f t="shared" si="15"/>
        <v>0</v>
      </c>
      <c r="K143" s="162"/>
      <c r="L143" s="335"/>
      <c r="M143" s="162">
        <f t="shared" si="24"/>
        <v>0</v>
      </c>
      <c r="N143" s="335"/>
      <c r="O143" s="162">
        <f t="shared" si="25"/>
        <v>0</v>
      </c>
      <c r="P143" s="162">
        <f t="shared" si="26"/>
        <v>0</v>
      </c>
    </row>
    <row r="144" spans="2:16">
      <c r="B144" s="9" t="str">
        <f t="shared" si="14"/>
        <v/>
      </c>
      <c r="C144" s="157">
        <f>IF(D93="","-",+C143+1)</f>
        <v>2059</v>
      </c>
      <c r="D144" s="158">
        <f>IF(F143+SUM(E$99:E143)=D$92,F143,D$92-SUM(E$99:E143))</f>
        <v>0</v>
      </c>
      <c r="E144" s="164">
        <f t="shared" si="16"/>
        <v>0</v>
      </c>
      <c r="F144" s="163">
        <f t="shared" si="17"/>
        <v>0</v>
      </c>
      <c r="G144" s="163">
        <f t="shared" si="18"/>
        <v>0</v>
      </c>
      <c r="H144" s="167">
        <f t="shared" si="19"/>
        <v>0</v>
      </c>
      <c r="I144" s="317">
        <f t="shared" si="20"/>
        <v>0</v>
      </c>
      <c r="J144" s="162">
        <f t="shared" si="15"/>
        <v>0</v>
      </c>
      <c r="K144" s="162"/>
      <c r="L144" s="335"/>
      <c r="M144" s="162">
        <f t="shared" si="24"/>
        <v>0</v>
      </c>
      <c r="N144" s="335"/>
      <c r="O144" s="162">
        <f t="shared" si="25"/>
        <v>0</v>
      </c>
      <c r="P144" s="162">
        <f t="shared" si="26"/>
        <v>0</v>
      </c>
    </row>
    <row r="145" spans="2:16">
      <c r="B145" s="9" t="str">
        <f t="shared" si="14"/>
        <v/>
      </c>
      <c r="C145" s="157">
        <f>IF(D93="","-",+C144+1)</f>
        <v>2060</v>
      </c>
      <c r="D145" s="158">
        <f>IF(F144+SUM(E$99:E144)=D$92,F144,D$92-SUM(E$99:E144))</f>
        <v>0</v>
      </c>
      <c r="E145" s="164">
        <f t="shared" si="16"/>
        <v>0</v>
      </c>
      <c r="F145" s="163">
        <f t="shared" si="17"/>
        <v>0</v>
      </c>
      <c r="G145" s="163">
        <f t="shared" si="18"/>
        <v>0</v>
      </c>
      <c r="H145" s="167">
        <f t="shared" si="19"/>
        <v>0</v>
      </c>
      <c r="I145" s="317">
        <f t="shared" si="20"/>
        <v>0</v>
      </c>
      <c r="J145" s="162">
        <f t="shared" si="15"/>
        <v>0</v>
      </c>
      <c r="K145" s="162"/>
      <c r="L145" s="335"/>
      <c r="M145" s="162">
        <f t="shared" si="24"/>
        <v>0</v>
      </c>
      <c r="N145" s="335"/>
      <c r="O145" s="162">
        <f t="shared" si="25"/>
        <v>0</v>
      </c>
      <c r="P145" s="162">
        <f t="shared" si="26"/>
        <v>0</v>
      </c>
    </row>
    <row r="146" spans="2:16">
      <c r="B146" s="9" t="str">
        <f t="shared" si="14"/>
        <v/>
      </c>
      <c r="C146" s="157">
        <f>IF(D93="","-",+C145+1)</f>
        <v>2061</v>
      </c>
      <c r="D146" s="158">
        <f>IF(F145+SUM(E$99:E145)=D$92,F145,D$92-SUM(E$99:E145))</f>
        <v>0</v>
      </c>
      <c r="E146" s="164">
        <f t="shared" si="16"/>
        <v>0</v>
      </c>
      <c r="F146" s="163">
        <f t="shared" si="17"/>
        <v>0</v>
      </c>
      <c r="G146" s="163">
        <f t="shared" si="18"/>
        <v>0</v>
      </c>
      <c r="H146" s="167">
        <f t="shared" si="19"/>
        <v>0</v>
      </c>
      <c r="I146" s="317">
        <f t="shared" si="20"/>
        <v>0</v>
      </c>
      <c r="J146" s="162">
        <f t="shared" si="15"/>
        <v>0</v>
      </c>
      <c r="K146" s="162"/>
      <c r="L146" s="335"/>
      <c r="M146" s="162">
        <f t="shared" si="24"/>
        <v>0</v>
      </c>
      <c r="N146" s="335"/>
      <c r="O146" s="162">
        <f t="shared" si="25"/>
        <v>0</v>
      </c>
      <c r="P146" s="162">
        <f t="shared" si="26"/>
        <v>0</v>
      </c>
    </row>
    <row r="147" spans="2:16">
      <c r="B147" s="9" t="str">
        <f t="shared" si="14"/>
        <v/>
      </c>
      <c r="C147" s="157">
        <f>IF(D93="","-",+C146+1)</f>
        <v>2062</v>
      </c>
      <c r="D147" s="158">
        <f>IF(F146+SUM(E$99:E146)=D$92,F146,D$92-SUM(E$99:E146))</f>
        <v>0</v>
      </c>
      <c r="E147" s="164">
        <f t="shared" si="16"/>
        <v>0</v>
      </c>
      <c r="F147" s="163">
        <f t="shared" si="17"/>
        <v>0</v>
      </c>
      <c r="G147" s="163">
        <f t="shared" si="18"/>
        <v>0</v>
      </c>
      <c r="H147" s="167">
        <f t="shared" si="19"/>
        <v>0</v>
      </c>
      <c r="I147" s="317">
        <f t="shared" si="20"/>
        <v>0</v>
      </c>
      <c r="J147" s="162">
        <f t="shared" si="15"/>
        <v>0</v>
      </c>
      <c r="K147" s="162"/>
      <c r="L147" s="335"/>
      <c r="M147" s="162">
        <f t="shared" si="24"/>
        <v>0</v>
      </c>
      <c r="N147" s="335"/>
      <c r="O147" s="162">
        <f t="shared" si="25"/>
        <v>0</v>
      </c>
      <c r="P147" s="162">
        <f t="shared" si="26"/>
        <v>0</v>
      </c>
    </row>
    <row r="148" spans="2:16">
      <c r="B148" s="9" t="str">
        <f t="shared" si="14"/>
        <v/>
      </c>
      <c r="C148" s="157">
        <f>IF(D93="","-",+C147+1)</f>
        <v>2063</v>
      </c>
      <c r="D148" s="158">
        <f>IF(F147+SUM(E$99:E147)=D$92,F147,D$92-SUM(E$99:E147))</f>
        <v>0</v>
      </c>
      <c r="E148" s="164">
        <f t="shared" si="16"/>
        <v>0</v>
      </c>
      <c r="F148" s="163">
        <f t="shared" si="17"/>
        <v>0</v>
      </c>
      <c r="G148" s="163">
        <f t="shared" si="18"/>
        <v>0</v>
      </c>
      <c r="H148" s="167">
        <f t="shared" si="19"/>
        <v>0</v>
      </c>
      <c r="I148" s="317">
        <f t="shared" si="20"/>
        <v>0</v>
      </c>
      <c r="J148" s="162">
        <f t="shared" si="15"/>
        <v>0</v>
      </c>
      <c r="K148" s="162"/>
      <c r="L148" s="335"/>
      <c r="M148" s="162">
        <f t="shared" si="24"/>
        <v>0</v>
      </c>
      <c r="N148" s="335"/>
      <c r="O148" s="162">
        <f t="shared" si="25"/>
        <v>0</v>
      </c>
      <c r="P148" s="162">
        <f t="shared" si="26"/>
        <v>0</v>
      </c>
    </row>
    <row r="149" spans="2:16">
      <c r="B149" s="9" t="str">
        <f t="shared" si="14"/>
        <v/>
      </c>
      <c r="C149" s="157">
        <f>IF(D93="","-",+C148+1)</f>
        <v>2064</v>
      </c>
      <c r="D149" s="158">
        <f>IF(F148+SUM(E$99:E148)=D$92,F148,D$92-SUM(E$99:E148))</f>
        <v>0</v>
      </c>
      <c r="E149" s="164">
        <f t="shared" si="16"/>
        <v>0</v>
      </c>
      <c r="F149" s="163">
        <f t="shared" si="17"/>
        <v>0</v>
      </c>
      <c r="G149" s="163">
        <f t="shared" si="18"/>
        <v>0</v>
      </c>
      <c r="H149" s="167">
        <f t="shared" si="19"/>
        <v>0</v>
      </c>
      <c r="I149" s="317">
        <f t="shared" si="20"/>
        <v>0</v>
      </c>
      <c r="J149" s="162">
        <f t="shared" si="15"/>
        <v>0</v>
      </c>
      <c r="K149" s="162"/>
      <c r="L149" s="335"/>
      <c r="M149" s="162">
        <f t="shared" si="24"/>
        <v>0</v>
      </c>
      <c r="N149" s="335"/>
      <c r="O149" s="162">
        <f t="shared" si="25"/>
        <v>0</v>
      </c>
      <c r="P149" s="162">
        <f t="shared" si="26"/>
        <v>0</v>
      </c>
    </row>
    <row r="150" spans="2:16">
      <c r="B150" s="9" t="str">
        <f t="shared" si="14"/>
        <v/>
      </c>
      <c r="C150" s="157">
        <f>IF(D93="","-",+C149+1)</f>
        <v>2065</v>
      </c>
      <c r="D150" s="158">
        <f>IF(F149+SUM(E$99:E149)=D$92,F149,D$92-SUM(E$99:E149))</f>
        <v>0</v>
      </c>
      <c r="E150" s="164">
        <f t="shared" si="16"/>
        <v>0</v>
      </c>
      <c r="F150" s="163">
        <f t="shared" si="17"/>
        <v>0</v>
      </c>
      <c r="G150" s="163">
        <f t="shared" si="18"/>
        <v>0</v>
      </c>
      <c r="H150" s="167">
        <f t="shared" si="19"/>
        <v>0</v>
      </c>
      <c r="I150" s="317">
        <f t="shared" si="20"/>
        <v>0</v>
      </c>
      <c r="J150" s="162">
        <f t="shared" si="15"/>
        <v>0</v>
      </c>
      <c r="K150" s="162"/>
      <c r="L150" s="335"/>
      <c r="M150" s="162">
        <f t="shared" si="24"/>
        <v>0</v>
      </c>
      <c r="N150" s="335"/>
      <c r="O150" s="162">
        <f t="shared" si="25"/>
        <v>0</v>
      </c>
      <c r="P150" s="162">
        <f t="shared" si="26"/>
        <v>0</v>
      </c>
    </row>
    <row r="151" spans="2:16">
      <c r="B151" s="9" t="str">
        <f t="shared" si="14"/>
        <v/>
      </c>
      <c r="C151" s="157">
        <f>IF(D93="","-",+C150+1)</f>
        <v>2066</v>
      </c>
      <c r="D151" s="158">
        <f>IF(F150+SUM(E$99:E150)=D$92,F150,D$92-SUM(E$99:E150))</f>
        <v>0</v>
      </c>
      <c r="E151" s="164">
        <f t="shared" si="16"/>
        <v>0</v>
      </c>
      <c r="F151" s="163">
        <f t="shared" si="17"/>
        <v>0</v>
      </c>
      <c r="G151" s="163">
        <f t="shared" si="18"/>
        <v>0</v>
      </c>
      <c r="H151" s="167">
        <f t="shared" si="19"/>
        <v>0</v>
      </c>
      <c r="I151" s="317">
        <f t="shared" si="20"/>
        <v>0</v>
      </c>
      <c r="J151" s="162">
        <f t="shared" si="15"/>
        <v>0</v>
      </c>
      <c r="K151" s="162"/>
      <c r="L151" s="335"/>
      <c r="M151" s="162">
        <f t="shared" si="24"/>
        <v>0</v>
      </c>
      <c r="N151" s="335"/>
      <c r="O151" s="162">
        <f t="shared" si="25"/>
        <v>0</v>
      </c>
      <c r="P151" s="162">
        <f t="shared" si="26"/>
        <v>0</v>
      </c>
    </row>
    <row r="152" spans="2:16">
      <c r="B152" s="9" t="str">
        <f t="shared" si="14"/>
        <v/>
      </c>
      <c r="C152" s="157">
        <f>IF(D93="","-",+C151+1)</f>
        <v>2067</v>
      </c>
      <c r="D152" s="158">
        <f>IF(F151+SUM(E$99:E151)=D$92,F151,D$92-SUM(E$99:E151))</f>
        <v>0</v>
      </c>
      <c r="E152" s="164">
        <f t="shared" si="16"/>
        <v>0</v>
      </c>
      <c r="F152" s="163">
        <f t="shared" si="17"/>
        <v>0</v>
      </c>
      <c r="G152" s="163">
        <f t="shared" si="18"/>
        <v>0</v>
      </c>
      <c r="H152" s="167">
        <f t="shared" si="19"/>
        <v>0</v>
      </c>
      <c r="I152" s="317">
        <f t="shared" si="20"/>
        <v>0</v>
      </c>
      <c r="J152" s="162">
        <f t="shared" si="15"/>
        <v>0</v>
      </c>
      <c r="K152" s="162"/>
      <c r="L152" s="335"/>
      <c r="M152" s="162">
        <f t="shared" si="24"/>
        <v>0</v>
      </c>
      <c r="N152" s="335"/>
      <c r="O152" s="162">
        <f t="shared" si="25"/>
        <v>0</v>
      </c>
      <c r="P152" s="162">
        <f t="shared" si="26"/>
        <v>0</v>
      </c>
    </row>
    <row r="153" spans="2:16">
      <c r="B153" s="9" t="str">
        <f t="shared" si="14"/>
        <v/>
      </c>
      <c r="C153" s="157">
        <f>IF(D93="","-",+C152+1)</f>
        <v>2068</v>
      </c>
      <c r="D153" s="158">
        <f>IF(F152+SUM(E$99:E152)=D$92,F152,D$92-SUM(E$99:E152))</f>
        <v>0</v>
      </c>
      <c r="E153" s="164">
        <f t="shared" si="16"/>
        <v>0</v>
      </c>
      <c r="F153" s="163">
        <f t="shared" si="17"/>
        <v>0</v>
      </c>
      <c r="G153" s="163">
        <f t="shared" si="18"/>
        <v>0</v>
      </c>
      <c r="H153" s="167">
        <f t="shared" si="19"/>
        <v>0</v>
      </c>
      <c r="I153" s="317">
        <f t="shared" si="20"/>
        <v>0</v>
      </c>
      <c r="J153" s="162">
        <f t="shared" si="15"/>
        <v>0</v>
      </c>
      <c r="K153" s="162"/>
      <c r="L153" s="335"/>
      <c r="M153" s="162">
        <f t="shared" si="24"/>
        <v>0</v>
      </c>
      <c r="N153" s="335"/>
      <c r="O153" s="162">
        <f t="shared" si="25"/>
        <v>0</v>
      </c>
      <c r="P153" s="162">
        <f t="shared" si="26"/>
        <v>0</v>
      </c>
    </row>
    <row r="154" spans="2:16" ht="13.5" thickBot="1">
      <c r="B154" s="9" t="str">
        <f t="shared" si="14"/>
        <v/>
      </c>
      <c r="C154" s="168">
        <f>IF(D93="","-",+C153+1)</f>
        <v>2069</v>
      </c>
      <c r="D154" s="158">
        <f>IF(F153+SUM(E$99:E153)=D$92,F153,D$92-SUM(E$99:E153))</f>
        <v>0</v>
      </c>
      <c r="E154" s="164">
        <f t="shared" si="16"/>
        <v>0</v>
      </c>
      <c r="F154" s="163">
        <f t="shared" si="17"/>
        <v>0</v>
      </c>
      <c r="G154" s="163">
        <f t="shared" si="18"/>
        <v>0</v>
      </c>
      <c r="H154" s="167">
        <f t="shared" si="19"/>
        <v>0</v>
      </c>
      <c r="I154" s="317">
        <f t="shared" si="20"/>
        <v>0</v>
      </c>
      <c r="J154" s="162">
        <f t="shared" si="15"/>
        <v>0</v>
      </c>
      <c r="K154" s="162"/>
      <c r="L154" s="336"/>
      <c r="M154" s="173">
        <f t="shared" si="24"/>
        <v>0</v>
      </c>
      <c r="N154" s="336"/>
      <c r="O154" s="173">
        <f t="shared" si="25"/>
        <v>0</v>
      </c>
      <c r="P154" s="173">
        <f t="shared" si="26"/>
        <v>0</v>
      </c>
    </row>
    <row r="155" spans="2:16">
      <c r="C155" s="158" t="s">
        <v>72</v>
      </c>
      <c r="D155" s="115"/>
      <c r="E155" s="115">
        <f>SUM(E99:E154)</f>
        <v>5059278</v>
      </c>
      <c r="F155" s="115"/>
      <c r="G155" s="115"/>
      <c r="H155" s="115">
        <f>SUM(H99:H154)</f>
        <v>17154289.334074691</v>
      </c>
      <c r="I155" s="115">
        <f>SUM(I99:I154)</f>
        <v>17154289.334074691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conditionalFormatting sqref="C17:C72">
    <cfRule type="cellIs" dxfId="27" priority="1" stopIfTrue="1" operator="equal">
      <formula>$I$10</formula>
    </cfRule>
  </conditionalFormatting>
  <conditionalFormatting sqref="C99:C154">
    <cfRule type="cellIs" dxfId="26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8"/>
  <dimension ref="A1:S137"/>
  <sheetViews>
    <sheetView view="pageBreakPreview" topLeftCell="G1" zoomScale="90" zoomScaleNormal="100" zoomScaleSheetLayoutView="90" workbookViewId="0">
      <selection activeCell="P120" sqref="P120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16.140625" customWidth="1"/>
    <col min="10" max="10" width="2.1406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3.5703125" bestFit="1" customWidth="1"/>
    <col min="17" max="17" width="4.7109375" customWidth="1"/>
    <col min="18" max="18" width="15.42578125" customWidth="1"/>
    <col min="19" max="19" width="81.85546875" bestFit="1" customWidth="1"/>
    <col min="23" max="23" width="9.140625" customWidth="1"/>
  </cols>
  <sheetData>
    <row r="1" spans="1:18" ht="18">
      <c r="A1" s="505" t="s">
        <v>118</v>
      </c>
      <c r="B1" s="506"/>
      <c r="C1" s="506"/>
      <c r="D1" s="506"/>
      <c r="E1" s="506"/>
      <c r="F1" s="506"/>
      <c r="G1" s="506"/>
      <c r="H1" s="506"/>
      <c r="I1" s="506"/>
      <c r="J1" s="506"/>
    </row>
    <row r="2" spans="1:18" ht="18">
      <c r="A2" s="507" t="str">
        <f>L19&amp;" Cost of Service Formula Rate Projected on "&amp;L19-1&amp;" FF1 Balances"</f>
        <v>2020 Cost of Service Formula Rate Projected on 2019 FF1 Balances</v>
      </c>
      <c r="B2" s="507"/>
      <c r="C2" s="507"/>
      <c r="D2" s="507"/>
      <c r="E2" s="507"/>
      <c r="F2" s="507"/>
      <c r="G2" s="507"/>
      <c r="H2" s="507"/>
      <c r="I2" s="507"/>
      <c r="J2" s="507"/>
    </row>
    <row r="3" spans="1:18" ht="18">
      <c r="A3" s="508" t="s">
        <v>135</v>
      </c>
      <c r="B3" s="507"/>
      <c r="C3" s="507"/>
      <c r="D3" s="507"/>
      <c r="E3" s="507"/>
      <c r="F3" s="507"/>
      <c r="G3" s="507"/>
      <c r="H3" s="507"/>
      <c r="I3" s="507"/>
      <c r="J3" s="507"/>
      <c r="Q3" s="240" t="s">
        <v>120</v>
      </c>
    </row>
    <row r="4" spans="1:18" ht="18">
      <c r="A4" s="507" t="str">
        <f>"Based on a Carrying Charge Derived from ""Historic"" "&amp;L19-1&amp;" Data"</f>
        <v>Based on a Carrying Charge Derived from "Historic" 2019 Data</v>
      </c>
      <c r="B4" s="507"/>
      <c r="C4" s="507"/>
      <c r="D4" s="507"/>
      <c r="E4" s="507"/>
      <c r="F4" s="507"/>
      <c r="G4" s="507"/>
      <c r="H4" s="507"/>
      <c r="I4" s="507"/>
      <c r="J4" s="507"/>
    </row>
    <row r="5" spans="1:18" ht="18">
      <c r="A5" s="509" t="s">
        <v>119</v>
      </c>
      <c r="B5" s="509"/>
      <c r="C5" s="509"/>
      <c r="D5" s="509"/>
      <c r="E5" s="509"/>
      <c r="F5" s="509"/>
      <c r="G5" s="509"/>
      <c r="H5" s="509"/>
      <c r="I5" s="509"/>
      <c r="J5" s="509"/>
    </row>
    <row r="6" spans="1:18">
      <c r="A6" s="1"/>
      <c r="B6" s="1"/>
      <c r="C6" s="1"/>
      <c r="D6" s="2"/>
      <c r="E6" s="1"/>
      <c r="F6" s="1"/>
      <c r="G6" s="1"/>
      <c r="H6" s="3"/>
      <c r="I6" s="1"/>
      <c r="J6" s="4"/>
    </row>
    <row r="7" spans="1:18">
      <c r="D7" s="9"/>
      <c r="H7" s="10"/>
      <c r="J7" s="7"/>
    </row>
    <row r="8" spans="1:18" ht="38.25" customHeight="1">
      <c r="B8" s="461" t="s">
        <v>0</v>
      </c>
      <c r="C8" s="501" t="str">
        <f>"Calculate Return and Income Taxes with "&amp;F13&amp;" basis point ROE increase for Projects Qualified for Incentive."</f>
        <v>Calculate Return and Income Taxes with 0 basis point ROE increase for Projects Qualified for Incentive.</v>
      </c>
      <c r="D8" s="502"/>
      <c r="E8" s="502"/>
      <c r="F8" s="502"/>
      <c r="G8" s="502"/>
      <c r="H8" s="502"/>
      <c r="J8" s="7"/>
      <c r="R8" s="348"/>
    </row>
    <row r="9" spans="1:18">
      <c r="D9" s="9"/>
      <c r="H9" s="10"/>
      <c r="J9" s="7"/>
    </row>
    <row r="10" spans="1:18" ht="15.75">
      <c r="C10" s="8" t="str">
        <f>"A.   Determine 'R' with hypothetical "&amp;F13&amp;" basis point increase in ROE for Identified Projects"</f>
        <v>A.   Determine 'R' with hypothetical 0 basis point increase in ROE for Identified Projects</v>
      </c>
      <c r="D10" s="9"/>
      <c r="H10" s="10"/>
      <c r="J10" s="7"/>
      <c r="K10" s="101"/>
      <c r="L10" s="231"/>
    </row>
    <row r="11" spans="1:18">
      <c r="D11" s="9"/>
      <c r="H11" s="10"/>
      <c r="J11" s="7"/>
    </row>
    <row r="12" spans="1:18">
      <c r="C12" s="11" t="str">
        <f>S105</f>
        <v xml:space="preserve">   ROE w/o incentives  (TCOS, ln 143)</v>
      </c>
      <c r="D12" s="9"/>
      <c r="E12" s="12"/>
      <c r="F12" s="13">
        <f>+R105</f>
        <v>0.105</v>
      </c>
      <c r="G12" s="14"/>
      <c r="H12" s="15"/>
      <c r="I12" s="16"/>
      <c r="J12" s="17"/>
      <c r="K12" s="16"/>
      <c r="L12" s="16"/>
      <c r="M12" s="16"/>
      <c r="N12" s="16"/>
      <c r="O12" s="12"/>
      <c r="P12" s="16"/>
      <c r="Q12" s="1"/>
    </row>
    <row r="13" spans="1:18">
      <c r="C13" s="11" t="s">
        <v>1</v>
      </c>
      <c r="D13" s="9"/>
      <c r="E13" s="12"/>
      <c r="F13" s="241">
        <f>+R106</f>
        <v>0</v>
      </c>
      <c r="G13" t="s">
        <v>147</v>
      </c>
      <c r="K13" s="16"/>
      <c r="L13" s="16"/>
      <c r="M13" s="16"/>
      <c r="N13" s="16"/>
      <c r="O13" s="12"/>
      <c r="P13" s="16"/>
      <c r="Q13" s="1"/>
    </row>
    <row r="14" spans="1:18" ht="13.5" thickBot="1">
      <c r="C14" s="11" t="str">
        <f>"   ROE with additional "&amp;F13&amp;" basis point incentive"</f>
        <v xml:space="preserve">   ROE with additional 0 basis point incentive</v>
      </c>
      <c r="D14" s="12"/>
      <c r="E14" s="12"/>
      <c r="F14" s="20">
        <f>IF((F12+(F13/10000)&gt;0.1245),"ERROR",F12+(F13/10000))</f>
        <v>0.105</v>
      </c>
      <c r="G14" s="21" t="s">
        <v>2</v>
      </c>
      <c r="H14" s="16"/>
      <c r="I14" s="16"/>
      <c r="J14" s="17"/>
      <c r="K14" s="16"/>
      <c r="L14" s="16"/>
      <c r="M14" s="16"/>
      <c r="N14" s="16"/>
      <c r="O14" s="12"/>
      <c r="P14" s="16"/>
      <c r="Q14" s="1"/>
    </row>
    <row r="15" spans="1:18">
      <c r="C15" s="11" t="s">
        <v>221</v>
      </c>
      <c r="D15" s="9"/>
      <c r="E15" s="12"/>
      <c r="F15" s="20"/>
      <c r="G15" s="12"/>
      <c r="H15" s="16"/>
      <c r="I15" s="16"/>
      <c r="J15" s="17"/>
      <c r="K15" s="495" t="s">
        <v>3</v>
      </c>
      <c r="L15" s="496"/>
      <c r="M15" s="496"/>
      <c r="N15" s="496"/>
      <c r="O15" s="497"/>
      <c r="P15" s="16"/>
      <c r="Q15" s="1"/>
    </row>
    <row r="16" spans="1:18">
      <c r="C16" s="17"/>
      <c r="D16" s="23" t="s">
        <v>4</v>
      </c>
      <c r="E16" s="23" t="s">
        <v>5</v>
      </c>
      <c r="F16" s="24" t="s">
        <v>6</v>
      </c>
      <c r="G16" s="12"/>
      <c r="H16" s="16"/>
      <c r="I16" s="16"/>
      <c r="J16" s="17"/>
      <c r="K16" s="498"/>
      <c r="L16" s="499"/>
      <c r="M16" s="499"/>
      <c r="N16" s="499"/>
      <c r="O16" s="500"/>
      <c r="P16" s="16"/>
      <c r="Q16" s="1"/>
    </row>
    <row r="17" spans="3:17">
      <c r="C17" s="25" t="s">
        <v>7</v>
      </c>
      <c r="D17" s="26">
        <f>+R107</f>
        <v>0.49365436170031152</v>
      </c>
      <c r="E17" s="27">
        <f>+R108</f>
        <v>4.3807436290491567E-2</v>
      </c>
      <c r="F17" s="28">
        <f>E17*D17</f>
        <v>2.1625731999709678E-2</v>
      </c>
      <c r="G17" s="12"/>
      <c r="H17" s="16"/>
      <c r="I17" s="29"/>
      <c r="J17" s="30"/>
      <c r="K17" s="31"/>
      <c r="L17" s="32"/>
      <c r="M17" s="17" t="s">
        <v>8</v>
      </c>
      <c r="N17" s="17" t="s">
        <v>9</v>
      </c>
      <c r="O17" s="33" t="s">
        <v>10</v>
      </c>
      <c r="P17" s="16"/>
      <c r="Q17" s="1"/>
    </row>
    <row r="18" spans="3:17">
      <c r="C18" s="25" t="s">
        <v>11</v>
      </c>
      <c r="D18" s="26">
        <f>+R109</f>
        <v>0</v>
      </c>
      <c r="E18" s="27">
        <f>+R110</f>
        <v>0</v>
      </c>
      <c r="F18" s="28">
        <f>E18*D18</f>
        <v>0</v>
      </c>
      <c r="G18" s="35"/>
      <c r="H18" s="35"/>
      <c r="I18" s="36"/>
      <c r="J18" s="37"/>
      <c r="K18" s="38"/>
      <c r="L18" s="7"/>
      <c r="M18" s="7"/>
      <c r="N18" s="7"/>
      <c r="O18" s="39"/>
      <c r="P18" s="35"/>
      <c r="Q18" s="1"/>
    </row>
    <row r="19" spans="3:17" ht="13.5" thickBot="1">
      <c r="C19" s="40" t="s">
        <v>12</v>
      </c>
      <c r="D19" s="26">
        <f>+R111</f>
        <v>0.50634563829968859</v>
      </c>
      <c r="E19" s="27">
        <f>+F14</f>
        <v>0.105</v>
      </c>
      <c r="F19" s="41">
        <f>E19*D19</f>
        <v>5.3166292021467297E-2</v>
      </c>
      <c r="G19" s="35"/>
      <c r="H19" s="35"/>
      <c r="I19" s="20"/>
      <c r="J19" s="37"/>
      <c r="K19" s="42" t="s">
        <v>13</v>
      </c>
      <c r="L19" s="225">
        <f>R104</f>
        <v>2020</v>
      </c>
      <c r="M19" s="44">
        <f>SUM('P.001:P.xyz - blank'!N5)</f>
        <v>7973838.7799099376</v>
      </c>
      <c r="N19" s="44">
        <f>SUM('P.001:P.xyz - blank'!N6)</f>
        <v>7973838.7799099376</v>
      </c>
      <c r="O19" s="45">
        <f>+N19-M19</f>
        <v>0</v>
      </c>
      <c r="P19" s="36"/>
      <c r="Q19" s="1"/>
    </row>
    <row r="20" spans="3:17">
      <c r="C20" s="11"/>
      <c r="D20" s="12"/>
      <c r="E20" s="46" t="s">
        <v>14</v>
      </c>
      <c r="F20" s="28">
        <f>SUM(F17:F19)</f>
        <v>7.4792024021176975E-2</v>
      </c>
      <c r="G20" s="35"/>
      <c r="H20" s="35"/>
      <c r="I20" s="36"/>
      <c r="J20" s="37"/>
      <c r="M20" s="230" t="str">
        <f>IF(M19=SUM('P.001:P.xyz - blank'!N5),"","ERROR")</f>
        <v/>
      </c>
      <c r="N20" s="230" t="str">
        <f>IF(N19=SUM('P.001:P.xyz - blank'!N6),"","ERROR")</f>
        <v/>
      </c>
      <c r="O20" s="230" t="str">
        <f>IF(O19=SUM('P.001:P.xyz - blank'!N7),"","ERROR")</f>
        <v/>
      </c>
      <c r="P20" s="35"/>
      <c r="Q20" s="1"/>
    </row>
    <row r="21" spans="3:17">
      <c r="D21" s="47"/>
      <c r="E21" s="47"/>
      <c r="F21" s="35"/>
      <c r="G21" s="35"/>
      <c r="H21" s="35"/>
      <c r="I21" s="35"/>
      <c r="J21" s="48"/>
      <c r="K21" s="49" t="s">
        <v>15</v>
      </c>
      <c r="P21" s="35"/>
      <c r="Q21" s="1"/>
    </row>
    <row r="22" spans="3:17" ht="15.75">
      <c r="C22" s="8" t="str">
        <f>"B.   Determine Return using 'R' with hypothetical "&amp;F13&amp;" basis point ROE increase for Identified Projects."</f>
        <v>B.   Determine Return using 'R' with hypothetical 0 basis point ROE increase for Identified Projects.</v>
      </c>
      <c r="D22" s="47"/>
      <c r="E22" s="47"/>
      <c r="F22" s="50"/>
      <c r="G22" s="35"/>
      <c r="H22" s="12"/>
      <c r="I22" s="35"/>
      <c r="J22" s="48"/>
      <c r="K22" t="s">
        <v>16</v>
      </c>
      <c r="P22" s="35"/>
      <c r="Q22" s="1"/>
    </row>
    <row r="23" spans="3:17">
      <c r="C23" s="17"/>
      <c r="D23" s="47"/>
      <c r="E23" s="47"/>
      <c r="F23" s="48"/>
      <c r="G23" s="48"/>
      <c r="H23" s="48"/>
      <c r="I23" s="48"/>
      <c r="J23" s="48"/>
      <c r="K23" s="36"/>
      <c r="L23" s="34"/>
      <c r="M23" s="51"/>
      <c r="N23" s="36"/>
      <c r="O23" s="35"/>
      <c r="P23" s="48"/>
      <c r="Q23" s="4"/>
    </row>
    <row r="24" spans="3:17">
      <c r="C24" s="11" t="str">
        <f>+S112</f>
        <v xml:space="preserve">   Rate Base  (TCOS, ln 63)</v>
      </c>
      <c r="D24" s="12"/>
      <c r="E24" s="52">
        <f>+R112</f>
        <v>502001015.96374404</v>
      </c>
      <c r="F24" s="53"/>
      <c r="G24" s="48"/>
      <c r="H24" s="48"/>
      <c r="I24" s="48"/>
      <c r="J24" s="48"/>
      <c r="K24" s="48"/>
      <c r="L24" s="48"/>
      <c r="M24" s="48"/>
      <c r="N24" s="48"/>
      <c r="O24" s="48"/>
      <c r="P24" s="53"/>
      <c r="Q24" s="4"/>
    </row>
    <row r="25" spans="3:17">
      <c r="C25" s="17" t="s">
        <v>17</v>
      </c>
      <c r="D25" s="14"/>
      <c r="E25" s="54">
        <f>F20</f>
        <v>7.4792024021176975E-2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"/>
    </row>
    <row r="26" spans="3:17">
      <c r="C26" s="55" t="s">
        <v>18</v>
      </c>
      <c r="D26" s="55"/>
      <c r="E26" s="36">
        <f>E24*E25</f>
        <v>37545672.044615589</v>
      </c>
      <c r="F26" s="48"/>
      <c r="G26" s="48"/>
      <c r="H26" s="48"/>
      <c r="I26" s="37"/>
      <c r="J26" s="37"/>
      <c r="K26" s="37"/>
      <c r="L26" s="37"/>
      <c r="M26" s="48"/>
      <c r="N26" s="37"/>
      <c r="O26" s="48"/>
      <c r="P26" s="48"/>
      <c r="Q26" s="4"/>
    </row>
    <row r="27" spans="3:17">
      <c r="C27" s="56"/>
      <c r="D27" s="16"/>
      <c r="E27" s="16"/>
      <c r="F27" s="48"/>
      <c r="G27" s="48"/>
      <c r="H27" s="48"/>
      <c r="I27" s="37"/>
      <c r="J27" s="37"/>
      <c r="K27" s="37"/>
      <c r="L27" s="37"/>
      <c r="M27" s="48"/>
      <c r="N27" s="37"/>
      <c r="O27" s="48"/>
      <c r="P27" s="48"/>
      <c r="Q27" s="4"/>
    </row>
    <row r="28" spans="3:17" ht="15.75">
      <c r="C28" s="8" t="str">
        <f>"C.   Determine Income Taxes using Return with hypothetical "&amp;F13&amp;" basis point ROE increase for Identified Projects."</f>
        <v>C.   Determine Income Taxes using Return with hypothetical 0 basis point ROE increase for Identified Projects.</v>
      </c>
      <c r="D28" s="57"/>
      <c r="E28" s="57"/>
      <c r="F28" s="58"/>
      <c r="G28" s="58"/>
      <c r="H28" s="58"/>
      <c r="I28" s="59"/>
      <c r="J28" s="59"/>
      <c r="K28" s="59"/>
      <c r="L28" s="59"/>
      <c r="M28" s="48"/>
      <c r="N28" s="59"/>
      <c r="O28" s="58"/>
      <c r="P28" s="58"/>
      <c r="Q28" s="4"/>
    </row>
    <row r="29" spans="3:17">
      <c r="C29" s="11"/>
      <c r="D29" s="16"/>
      <c r="E29" s="16"/>
      <c r="F29" s="48"/>
      <c r="G29" s="48"/>
      <c r="H29" s="48"/>
      <c r="I29" s="37"/>
      <c r="J29" s="37"/>
      <c r="K29" s="37"/>
      <c r="L29" s="37"/>
      <c r="M29" s="48"/>
      <c r="N29" s="37"/>
      <c r="O29" s="48"/>
      <c r="P29" s="48"/>
      <c r="Q29" s="4"/>
    </row>
    <row r="30" spans="3:17">
      <c r="C30" s="17" t="s">
        <v>19</v>
      </c>
      <c r="D30" s="46"/>
      <c r="E30" s="60">
        <f>E26</f>
        <v>37545672.044615589</v>
      </c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"/>
    </row>
    <row r="31" spans="3:17">
      <c r="C31" s="11" t="str">
        <f>+S113</f>
        <v xml:space="preserve">   Tax Rate  (TCOS, ln 99)</v>
      </c>
      <c r="D31" s="46"/>
      <c r="E31" s="61">
        <f>+R113</f>
        <v>0.2533709999999999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"/>
    </row>
    <row r="32" spans="3:17">
      <c r="C32" s="17" t="s">
        <v>20</v>
      </c>
      <c r="D32" s="2"/>
      <c r="E32" s="20">
        <f>IF(F17&gt;0,($E31/(1-$E31))*(1-$F17/$F20),0)</f>
        <v>0.24123101109261699</v>
      </c>
      <c r="F32" s="1"/>
      <c r="G32" s="20"/>
      <c r="H32" s="3"/>
      <c r="I32" s="1"/>
      <c r="J32" s="4"/>
      <c r="K32" s="1"/>
      <c r="L32" s="1"/>
      <c r="M32" s="1"/>
      <c r="N32" s="1"/>
      <c r="O32" s="1"/>
      <c r="P32" s="1"/>
      <c r="Q32" s="1"/>
    </row>
    <row r="33" spans="2:19">
      <c r="C33" s="55" t="s">
        <v>21</v>
      </c>
      <c r="D33" s="62"/>
      <c r="E33" s="63">
        <f>E30*E32</f>
        <v>9057180.4294744227</v>
      </c>
      <c r="F33" s="63"/>
      <c r="G33" s="1"/>
      <c r="H33" s="3"/>
      <c r="I33" s="1"/>
      <c r="J33" s="4"/>
      <c r="K33" s="1"/>
      <c r="L33" s="1"/>
      <c r="M33" s="1"/>
      <c r="N33" s="1"/>
      <c r="O33" s="1"/>
      <c r="P33" s="1"/>
      <c r="Q33" s="1"/>
    </row>
    <row r="34" spans="2:19" ht="15">
      <c r="C34" s="11" t="str">
        <f>+S114</f>
        <v xml:space="preserve">   ITC Adjustment  (TCOS, ln 108)</v>
      </c>
      <c r="D34" s="65"/>
      <c r="E34" s="68">
        <f>+R114</f>
        <v>-329936.56356661161</v>
      </c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7"/>
      <c r="Q34" s="65"/>
    </row>
    <row r="35" spans="2:19" ht="15">
      <c r="C35" s="11" t="str">
        <f>+S115</f>
        <v xml:space="preserve">   Excess DFIT Adjustment  (TCOS, ln 109)</v>
      </c>
      <c r="D35" s="65"/>
      <c r="E35" s="68">
        <f>+R115</f>
        <v>-4189348.9269771185</v>
      </c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7"/>
      <c r="Q35" s="65"/>
    </row>
    <row r="36" spans="2:19" ht="15">
      <c r="C36" s="11" t="str">
        <f>+S116</f>
        <v xml:space="preserve">   Tax Effect of Permanent and Flow Through Differences  (TCOS, ln 110)</v>
      </c>
      <c r="D36" s="65"/>
      <c r="E36" s="66">
        <f>+R116</f>
        <v>63864.38244429294</v>
      </c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7"/>
      <c r="Q36" s="65"/>
    </row>
    <row r="37" spans="2:19" ht="15">
      <c r="C37" s="56" t="s">
        <v>22</v>
      </c>
      <c r="D37" s="65"/>
      <c r="E37" s="68">
        <f>E33+E34+E35+E36</f>
        <v>4601759.3213749854</v>
      </c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9"/>
      <c r="Q37" s="65"/>
    </row>
    <row r="38" spans="2:19" ht="12.75" customHeight="1">
      <c r="C38" s="70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9"/>
      <c r="Q38" s="65"/>
      <c r="R38" s="1"/>
      <c r="S38" s="1"/>
    </row>
    <row r="39" spans="2:19" ht="18.75">
      <c r="B39" s="5" t="s">
        <v>23</v>
      </c>
      <c r="C39" s="71" t="str">
        <f>"Calculate Net Plant Carrying Charge Rate (Fixed Charge Rate or FCR) with hypothetical "&amp;F13&amp;" basis point"</f>
        <v>Calculate Net Plant Carrying Charge Rate (Fixed Charge Rate or FCR) with hypothetical 0 basis point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9"/>
      <c r="Q39" s="65"/>
      <c r="R39" s="1"/>
      <c r="S39" s="1"/>
    </row>
    <row r="40" spans="2:19" ht="15.75" customHeight="1">
      <c r="B40" s="5"/>
      <c r="C40" s="71" t="str">
        <f>"ROE increase."</f>
        <v>ROE increase.</v>
      </c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9"/>
      <c r="Q40" s="65"/>
      <c r="R40" s="1"/>
      <c r="S40" s="1"/>
    </row>
    <row r="41" spans="2:19" ht="12.75" customHeight="1">
      <c r="C41" s="70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9"/>
      <c r="Q41" s="65"/>
      <c r="R41" s="1"/>
      <c r="S41" s="1"/>
    </row>
    <row r="42" spans="2:19" ht="15.75">
      <c r="C42" s="8" t="s">
        <v>24</v>
      </c>
      <c r="D42" s="65"/>
      <c r="E42" s="65"/>
      <c r="F42" s="72"/>
      <c r="G42" s="65"/>
      <c r="H42" s="65"/>
      <c r="I42" s="65"/>
      <c r="J42" s="65"/>
      <c r="K42" s="65"/>
      <c r="L42" s="65"/>
      <c r="M42" s="65"/>
      <c r="N42" s="65"/>
      <c r="O42" s="65"/>
      <c r="P42" s="69"/>
      <c r="Q42" s="65"/>
      <c r="R42" s="1"/>
      <c r="S42" s="1"/>
    </row>
    <row r="43" spans="2:19">
      <c r="B43" s="1"/>
      <c r="C43" s="73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68"/>
      <c r="Q43" s="74"/>
      <c r="R43" s="1"/>
      <c r="S43" s="1"/>
    </row>
    <row r="44" spans="2:19" ht="12.75" customHeight="1">
      <c r="B44" s="1"/>
      <c r="C44" s="11" t="str">
        <f>+S117</f>
        <v xml:space="preserve">   Net Revenue Requirement  (TCOS, ln 117)</v>
      </c>
      <c r="D44" s="74"/>
      <c r="E44" s="74"/>
      <c r="F44" s="68">
        <f>+R117</f>
        <v>91670124.906591564</v>
      </c>
      <c r="G44" s="74"/>
      <c r="H44" s="74"/>
      <c r="I44" s="74"/>
      <c r="J44" s="74"/>
      <c r="K44" s="74"/>
      <c r="L44" s="74"/>
      <c r="M44" s="74"/>
      <c r="N44" s="74"/>
      <c r="O44" s="74"/>
      <c r="P44" s="68"/>
      <c r="Q44" s="74"/>
      <c r="R44" s="1"/>
      <c r="S44" s="1"/>
    </row>
    <row r="45" spans="2:19">
      <c r="B45" s="1"/>
      <c r="C45" s="11" t="str">
        <f>+S118</f>
        <v xml:space="preserve">   Return  (TCOS, ln 112)</v>
      </c>
      <c r="D45" s="74"/>
      <c r="E45" s="74"/>
      <c r="F45" s="75">
        <f>+R118</f>
        <v>37545672.044615589</v>
      </c>
      <c r="G45" s="76"/>
      <c r="H45" s="76"/>
      <c r="I45" s="76"/>
      <c r="J45" s="76"/>
      <c r="K45" s="76"/>
      <c r="L45" s="76"/>
      <c r="M45" s="76"/>
      <c r="N45" s="76"/>
      <c r="O45" s="76"/>
      <c r="P45" s="68"/>
      <c r="Q45" s="74"/>
      <c r="R45" s="1"/>
      <c r="S45" s="1"/>
    </row>
    <row r="46" spans="2:19">
      <c r="B46" s="1"/>
      <c r="C46" s="11" t="str">
        <f>+S119</f>
        <v xml:space="preserve">   Income Taxes  (TCOS, ln 111)</v>
      </c>
      <c r="D46" s="74"/>
      <c r="E46" s="74"/>
      <c r="F46" s="68">
        <f>+R119</f>
        <v>4601759.3213749854</v>
      </c>
      <c r="G46" s="74"/>
      <c r="H46" s="74"/>
      <c r="I46" s="77"/>
      <c r="J46" s="77"/>
      <c r="K46" s="77"/>
      <c r="L46" s="77"/>
      <c r="M46" s="77"/>
      <c r="N46" s="77"/>
      <c r="O46" s="74"/>
      <c r="P46" s="74"/>
      <c r="Q46" s="74"/>
      <c r="R46" s="1"/>
      <c r="S46" s="1"/>
    </row>
    <row r="47" spans="2:19">
      <c r="B47" s="1"/>
      <c r="C47" s="73" t="str">
        <f>+S120</f>
        <v xml:space="preserve">  Gross Margin Taxes  (TCOS, ln 116)</v>
      </c>
      <c r="D47" s="74"/>
      <c r="E47" s="74"/>
      <c r="F47" s="66">
        <f>+R120</f>
        <v>0</v>
      </c>
      <c r="G47" s="74"/>
      <c r="H47" s="74"/>
      <c r="I47" s="77"/>
      <c r="J47" s="77"/>
      <c r="K47" s="77"/>
      <c r="L47" s="77"/>
      <c r="M47" s="77"/>
      <c r="N47" s="77"/>
      <c r="O47" s="74"/>
      <c r="P47" s="74"/>
      <c r="Q47" s="74"/>
      <c r="R47" s="1"/>
      <c r="S47" s="1"/>
    </row>
    <row r="48" spans="2:19">
      <c r="B48" s="1"/>
      <c r="C48" s="22" t="s">
        <v>25</v>
      </c>
      <c r="D48" s="74"/>
      <c r="E48" s="74"/>
      <c r="F48" s="75">
        <f>F44-F45-F46-F47</f>
        <v>49522693.540600993</v>
      </c>
      <c r="G48" s="78"/>
      <c r="H48" s="74"/>
      <c r="I48" s="78"/>
      <c r="J48" s="78"/>
      <c r="K48" s="78"/>
      <c r="L48" s="78"/>
      <c r="M48" s="78"/>
      <c r="N48" s="78"/>
      <c r="O48" s="74"/>
      <c r="P48" s="78"/>
      <c r="Q48" s="74"/>
      <c r="R48" s="1"/>
      <c r="S48" s="1"/>
    </row>
    <row r="49" spans="2:19">
      <c r="B49" s="1"/>
      <c r="C49" s="73"/>
      <c r="D49" s="74"/>
      <c r="E49" s="74"/>
      <c r="F49" s="68"/>
      <c r="G49" s="79"/>
      <c r="H49" s="80"/>
      <c r="I49" s="80"/>
      <c r="J49" s="80"/>
      <c r="K49" s="80"/>
      <c r="L49" s="80"/>
      <c r="M49" s="80"/>
      <c r="N49" s="80"/>
      <c r="O49" s="81"/>
      <c r="P49" s="80"/>
      <c r="Q49" s="82"/>
      <c r="R49" s="1"/>
      <c r="S49" s="1"/>
    </row>
    <row r="50" spans="2:19" ht="15.75">
      <c r="B50" s="1"/>
      <c r="C50" s="8" t="str">
        <f>"B.   Determine Net Revenue Requirement with hypothetical "&amp;F13&amp;" basis point increase in ROE."</f>
        <v>B.   Determine Net Revenue Requirement with hypothetical 0 basis point increase in ROE.</v>
      </c>
      <c r="D50" s="81"/>
      <c r="E50" s="81"/>
      <c r="F50" s="68"/>
      <c r="G50" s="79"/>
      <c r="H50" s="80"/>
      <c r="I50" s="80"/>
      <c r="J50" s="80"/>
      <c r="K50" s="80"/>
      <c r="L50" s="80"/>
      <c r="M50" s="80"/>
      <c r="N50" s="80"/>
      <c r="O50" s="81"/>
      <c r="P50" s="80"/>
      <c r="Q50" s="74"/>
    </row>
    <row r="51" spans="2:19">
      <c r="B51" s="1"/>
      <c r="C51" s="73"/>
      <c r="D51" s="81"/>
      <c r="E51" s="81"/>
      <c r="F51" s="68"/>
      <c r="G51" s="79"/>
      <c r="H51" s="80"/>
      <c r="I51" s="80"/>
      <c r="J51" s="80"/>
      <c r="K51" s="80"/>
      <c r="L51" s="80"/>
      <c r="M51" s="80"/>
      <c r="N51" s="80"/>
      <c r="O51" s="81"/>
      <c r="P51" s="80"/>
      <c r="Q51" s="74"/>
    </row>
    <row r="52" spans="2:19">
      <c r="B52" s="1"/>
      <c r="C52" s="73" t="str">
        <f>C48</f>
        <v xml:space="preserve">   Net Revenue Requirement, Less Return and Taxes</v>
      </c>
      <c r="D52" s="81"/>
      <c r="E52" s="81"/>
      <c r="F52" s="68">
        <f>F48</f>
        <v>49522693.540600993</v>
      </c>
      <c r="G52" s="74"/>
      <c r="H52" s="74"/>
      <c r="I52" s="74"/>
      <c r="J52" s="74"/>
      <c r="K52" s="74"/>
      <c r="L52" s="74"/>
      <c r="M52" s="74"/>
      <c r="N52" s="74"/>
      <c r="O52" s="83"/>
      <c r="P52" s="84"/>
      <c r="Q52" s="85"/>
    </row>
    <row r="53" spans="2:19">
      <c r="B53" s="1"/>
      <c r="C53" s="17" t="s">
        <v>98</v>
      </c>
      <c r="D53" s="86"/>
      <c r="E53" s="22"/>
      <c r="F53" s="87">
        <f>E26</f>
        <v>37545672.044615589</v>
      </c>
      <c r="G53" s="22"/>
      <c r="H53" s="88"/>
      <c r="I53" s="22"/>
      <c r="J53" s="22"/>
      <c r="K53" s="22"/>
      <c r="L53" s="22"/>
      <c r="M53" s="22"/>
      <c r="N53" s="22"/>
      <c r="O53" s="22"/>
      <c r="P53" s="22"/>
      <c r="Q53" s="22"/>
    </row>
    <row r="54" spans="2:19" ht="12.75" customHeight="1">
      <c r="B54" s="1"/>
      <c r="C54" s="11" t="s">
        <v>26</v>
      </c>
      <c r="D54" s="74"/>
      <c r="E54" s="74"/>
      <c r="F54" s="89">
        <f>E37</f>
        <v>4601759.3213749854</v>
      </c>
      <c r="G54" s="1"/>
      <c r="H54" s="3"/>
      <c r="I54" s="1"/>
      <c r="J54" s="4"/>
      <c r="K54" s="1"/>
      <c r="L54" s="1"/>
      <c r="M54" s="1"/>
      <c r="N54" s="1"/>
      <c r="O54" s="1"/>
      <c r="P54" s="1"/>
      <c r="Q54" s="1"/>
    </row>
    <row r="55" spans="2:19">
      <c r="B55" s="1"/>
      <c r="C55" s="22" t="str">
        <f>"   Net Revenue Requirement, with "&amp;F13&amp;" Basis Point ROE increase"</f>
        <v xml:space="preserve">   Net Revenue Requirement, with 0 Basis Point ROE increase</v>
      </c>
      <c r="D55" s="2"/>
      <c r="E55" s="1"/>
      <c r="F55" s="63">
        <f>SUM(F52:F54)</f>
        <v>91670124.906591564</v>
      </c>
      <c r="G55" s="1"/>
      <c r="H55" s="3"/>
      <c r="I55" s="1"/>
      <c r="J55" s="4"/>
      <c r="K55" s="1"/>
      <c r="L55" s="1"/>
      <c r="M55" s="1"/>
      <c r="N55" s="1"/>
      <c r="O55" s="1"/>
      <c r="P55" s="1"/>
      <c r="Q55" s="1"/>
      <c r="R55" s="1"/>
      <c r="S55" s="1"/>
    </row>
    <row r="56" spans="2:19">
      <c r="B56" s="1"/>
      <c r="C56" s="64" t="str">
        <f>"   Gross Margin Tax with "&amp;F13&amp;" Basis Point ROE Increase (II C. below)"</f>
        <v xml:space="preserve">   Gross Margin Tax with 0 Basis Point ROE Increase (II C. below)</v>
      </c>
      <c r="D56" s="90"/>
      <c r="E56" s="90"/>
      <c r="F56" s="91">
        <f>+F71</f>
        <v>0</v>
      </c>
      <c r="G56" s="1"/>
      <c r="H56" s="3"/>
      <c r="I56" s="1"/>
      <c r="J56" s="4"/>
      <c r="K56" s="1"/>
      <c r="L56" s="1"/>
      <c r="M56" s="1"/>
      <c r="N56" s="1"/>
      <c r="O56" s="1"/>
      <c r="P56" s="1"/>
      <c r="Q56" s="1"/>
      <c r="R56" s="1"/>
      <c r="S56" s="1"/>
    </row>
    <row r="57" spans="2:19">
      <c r="B57" s="1"/>
      <c r="C57" s="22" t="s">
        <v>27</v>
      </c>
      <c r="D57" s="2"/>
      <c r="E57" s="1"/>
      <c r="F57" s="92">
        <f>+F55+F56</f>
        <v>91670124.906591564</v>
      </c>
      <c r="G57" s="1"/>
      <c r="H57" s="3"/>
      <c r="I57" s="1"/>
      <c r="J57" s="4"/>
      <c r="K57" s="1"/>
      <c r="L57" s="1"/>
      <c r="M57" s="1"/>
      <c r="N57" s="1"/>
      <c r="O57" s="1"/>
      <c r="P57" s="1"/>
      <c r="Q57" s="1"/>
      <c r="R57" s="1"/>
      <c r="S57" s="1"/>
    </row>
    <row r="58" spans="2:19">
      <c r="B58" s="1"/>
      <c r="C58" s="11" t="str">
        <f>+S121</f>
        <v xml:space="preserve">   Less: Depreciation  (TCOS, ln 86)</v>
      </c>
      <c r="D58" s="2"/>
      <c r="E58" s="1"/>
      <c r="F58" s="93">
        <f>+R121</f>
        <v>20675855.157321699</v>
      </c>
      <c r="G58" s="1"/>
      <c r="H58" s="3"/>
      <c r="I58" s="1"/>
      <c r="J58" s="4"/>
      <c r="K58" s="1"/>
      <c r="L58" s="1"/>
      <c r="M58" s="1"/>
      <c r="N58" s="1"/>
      <c r="O58" s="1"/>
      <c r="P58" s="1"/>
      <c r="Q58" s="1"/>
      <c r="R58" s="1"/>
      <c r="S58" s="1"/>
    </row>
    <row r="59" spans="2:19">
      <c r="B59" s="1"/>
      <c r="C59" s="22" t="str">
        <f>"   Net Rev. Req, w/"&amp;F13&amp;" Basis Point ROE increase, less Depreciation"</f>
        <v xml:space="preserve">   Net Rev. Req, w/0 Basis Point ROE increase, less Depreciation</v>
      </c>
      <c r="D59" s="2"/>
      <c r="E59" s="1"/>
      <c r="F59" s="63">
        <f>F57-F58</f>
        <v>70994269.749269873</v>
      </c>
      <c r="G59" s="1"/>
      <c r="H59" s="3"/>
      <c r="I59" s="1"/>
      <c r="J59" s="4"/>
      <c r="K59" s="1"/>
      <c r="L59" s="1"/>
      <c r="M59" s="1"/>
      <c r="N59" s="1"/>
      <c r="O59" s="1"/>
      <c r="P59" s="1"/>
      <c r="Q59" s="1"/>
      <c r="R59" s="1"/>
      <c r="S59" s="1"/>
    </row>
    <row r="60" spans="2:19">
      <c r="B60" s="1"/>
      <c r="C60" s="1"/>
      <c r="D60" s="2"/>
      <c r="E60" s="1"/>
      <c r="F60" s="1"/>
      <c r="G60" s="1"/>
      <c r="H60" s="3"/>
      <c r="I60" s="1"/>
      <c r="J60" s="4"/>
      <c r="K60" s="1"/>
      <c r="L60" s="1"/>
      <c r="M60" s="1"/>
      <c r="N60" s="1"/>
      <c r="O60" s="1"/>
      <c r="P60" s="1"/>
      <c r="Q60" s="1"/>
      <c r="R60" s="1"/>
      <c r="S60" s="1"/>
    </row>
    <row r="61" spans="2:19" ht="15.75">
      <c r="B61" s="18"/>
      <c r="C61" s="94" t="str">
        <f>"C.   Determine Gross Margin Tax with hypothetical "&amp;F13&amp;" basis point increase in ROE."</f>
        <v>C.   Determine Gross Margin Tax with hypothetical 0 basis point increase in ROE.</v>
      </c>
      <c r="D61" s="95"/>
      <c r="E61" s="95"/>
      <c r="F61" s="96"/>
      <c r="G61" s="18"/>
      <c r="H61" s="97"/>
      <c r="I61" s="18"/>
      <c r="J61" s="4"/>
      <c r="K61" s="1"/>
      <c r="L61" s="1"/>
      <c r="M61" s="1"/>
      <c r="N61" s="1"/>
      <c r="O61" s="1"/>
      <c r="P61" s="1"/>
      <c r="Q61" s="1"/>
      <c r="R61" s="1"/>
      <c r="S61" s="1"/>
    </row>
    <row r="62" spans="2:19">
      <c r="B62" s="18"/>
      <c r="C62" s="64" t="str">
        <f>"   Net Revenue Requirement before Gross Margin Taxes, with "&amp;F13&amp;" "</f>
        <v xml:space="preserve">   Net Revenue Requirement before Gross Margin Taxes, with 0 </v>
      </c>
      <c r="D62" s="95"/>
      <c r="E62" s="95"/>
      <c r="F62" s="96">
        <f>+F55</f>
        <v>91670124.906591564</v>
      </c>
      <c r="G62" s="18"/>
      <c r="H62" s="97"/>
      <c r="I62" s="18"/>
      <c r="J62" s="4"/>
      <c r="K62" s="1"/>
      <c r="L62" s="1"/>
      <c r="M62" s="1"/>
      <c r="N62" s="1"/>
      <c r="O62" s="1"/>
      <c r="P62" s="1"/>
      <c r="Q62" s="1"/>
      <c r="R62" s="1"/>
      <c r="S62" s="1"/>
    </row>
    <row r="63" spans="2:19">
      <c r="B63" s="18"/>
      <c r="C63" s="64" t="s">
        <v>28</v>
      </c>
      <c r="D63" s="95"/>
      <c r="E63" s="95"/>
      <c r="F63" s="96"/>
      <c r="G63" s="18"/>
      <c r="H63" s="97"/>
      <c r="I63" s="18"/>
      <c r="J63" s="4"/>
      <c r="K63" s="1"/>
      <c r="L63" s="1"/>
      <c r="M63" s="1"/>
      <c r="N63" s="1"/>
      <c r="O63" s="1"/>
      <c r="P63" s="1"/>
      <c r="Q63" s="1"/>
      <c r="R63" s="1"/>
      <c r="S63" s="1"/>
    </row>
    <row r="64" spans="2:19">
      <c r="B64" s="18"/>
      <c r="C64" s="22" t="s">
        <v>279</v>
      </c>
      <c r="D64" s="62"/>
      <c r="E64" s="18"/>
      <c r="F64" s="98">
        <f>+R122</f>
        <v>0</v>
      </c>
      <c r="G64" s="18"/>
      <c r="H64" s="97"/>
      <c r="I64" s="18"/>
      <c r="J64" s="4"/>
      <c r="K64" s="1"/>
      <c r="L64" s="1"/>
      <c r="M64" s="1"/>
      <c r="N64" s="1"/>
      <c r="O64" s="1"/>
      <c r="P64" s="1"/>
      <c r="Q64" s="1"/>
      <c r="R64" s="1"/>
      <c r="S64" s="1"/>
    </row>
    <row r="65" spans="2:19">
      <c r="B65" s="18"/>
      <c r="C65" s="22" t="s">
        <v>280</v>
      </c>
      <c r="D65" s="62"/>
      <c r="E65" s="18"/>
      <c r="F65" s="96">
        <f>+F62*F64</f>
        <v>0</v>
      </c>
      <c r="G65" s="18"/>
      <c r="H65" s="97"/>
      <c r="I65" s="18"/>
      <c r="J65" s="4"/>
      <c r="K65" s="1"/>
      <c r="L65" s="1"/>
      <c r="M65" s="1"/>
      <c r="N65" s="1"/>
      <c r="O65" s="1"/>
      <c r="P65" s="1"/>
      <c r="Q65" s="1"/>
      <c r="R65" s="1"/>
      <c r="S65" s="1"/>
    </row>
    <row r="66" spans="2:19">
      <c r="B66" s="18"/>
      <c r="C66" s="22" t="s">
        <v>281</v>
      </c>
      <c r="D66" s="62"/>
      <c r="E66" s="18"/>
      <c r="F66" s="99">
        <v>0.22</v>
      </c>
      <c r="G66" s="18"/>
      <c r="H66" s="97"/>
      <c r="I66" s="18"/>
      <c r="J66" s="4"/>
      <c r="K66" s="1"/>
      <c r="L66" s="1"/>
      <c r="M66" s="1"/>
      <c r="N66" s="1"/>
      <c r="O66" s="1"/>
      <c r="P66" s="1"/>
      <c r="Q66" s="1"/>
      <c r="R66" s="1"/>
      <c r="S66" s="1"/>
    </row>
    <row r="67" spans="2:19">
      <c r="B67" s="18"/>
      <c r="C67" s="22" t="s">
        <v>282</v>
      </c>
      <c r="D67" s="62"/>
      <c r="E67" s="18"/>
      <c r="F67" s="96">
        <f>+F65*F66</f>
        <v>0</v>
      </c>
      <c r="G67" s="18"/>
      <c r="H67" s="97"/>
      <c r="I67" s="18"/>
      <c r="J67" s="4"/>
      <c r="K67" s="1"/>
      <c r="L67" s="1"/>
      <c r="M67" s="1"/>
      <c r="N67" s="1"/>
      <c r="O67" s="1"/>
      <c r="P67" s="1"/>
      <c r="Q67" s="1"/>
      <c r="R67" s="1"/>
      <c r="S67" s="1"/>
    </row>
    <row r="68" spans="2:19">
      <c r="B68" s="18"/>
      <c r="C68" s="22" t="s">
        <v>283</v>
      </c>
      <c r="D68" s="62"/>
      <c r="E68" s="18"/>
      <c r="F68" s="99">
        <v>0.01</v>
      </c>
      <c r="G68" s="18"/>
      <c r="H68" s="97"/>
      <c r="I68" s="18"/>
      <c r="J68" s="4"/>
      <c r="K68" s="1"/>
      <c r="L68" s="1"/>
      <c r="M68" s="1"/>
      <c r="N68" s="1"/>
      <c r="O68" s="1"/>
      <c r="P68" s="1"/>
      <c r="Q68" s="1"/>
      <c r="R68" s="1"/>
      <c r="S68" s="1"/>
    </row>
    <row r="69" spans="2:19">
      <c r="B69" s="18"/>
      <c r="C69" s="22" t="s">
        <v>284</v>
      </c>
      <c r="D69" s="62"/>
      <c r="E69" s="18"/>
      <c r="F69" s="96">
        <f>+F67*F68</f>
        <v>0</v>
      </c>
      <c r="G69" s="18"/>
      <c r="H69" s="97"/>
      <c r="I69" s="18"/>
      <c r="J69" s="4"/>
      <c r="K69" s="1"/>
      <c r="L69" s="1"/>
      <c r="M69" s="1"/>
      <c r="N69" s="1"/>
      <c r="O69" s="1"/>
      <c r="P69" s="1"/>
      <c r="Q69" s="1"/>
      <c r="R69" s="1"/>
      <c r="S69" s="1"/>
    </row>
    <row r="70" spans="2:19">
      <c r="B70" s="18"/>
      <c r="C70" s="22" t="s">
        <v>285</v>
      </c>
      <c r="D70" s="62"/>
      <c r="E70" s="18"/>
      <c r="F70" s="100">
        <f>+ROUND((F69*F66*F64)/(1-F68)*F68,0)</f>
        <v>0</v>
      </c>
      <c r="G70" s="18"/>
      <c r="H70" s="97"/>
      <c r="I70" s="18"/>
      <c r="J70" s="4"/>
      <c r="K70" s="1"/>
      <c r="L70" s="1"/>
      <c r="M70" s="1"/>
      <c r="N70" s="1"/>
      <c r="O70" s="1"/>
      <c r="P70" s="1"/>
      <c r="Q70" s="1"/>
      <c r="R70" s="1"/>
      <c r="S70" s="1"/>
    </row>
    <row r="71" spans="2:19">
      <c r="B71" s="18"/>
      <c r="C71" s="22" t="s">
        <v>29</v>
      </c>
      <c r="D71" s="62"/>
      <c r="E71" s="18"/>
      <c r="F71" s="96">
        <f>+F69+F70</f>
        <v>0</v>
      </c>
      <c r="G71" s="18"/>
      <c r="H71" s="97"/>
      <c r="I71" s="18"/>
      <c r="J71" s="4"/>
      <c r="K71" s="1"/>
      <c r="L71" s="1"/>
      <c r="M71" s="1"/>
      <c r="N71" s="1"/>
      <c r="O71" s="1"/>
      <c r="P71" s="1"/>
      <c r="Q71" s="1"/>
      <c r="R71" s="1"/>
      <c r="S71" s="1"/>
    </row>
    <row r="72" spans="2:19">
      <c r="B72" s="1"/>
      <c r="C72" s="1"/>
      <c r="D72" s="2"/>
      <c r="E72" s="1"/>
      <c r="F72" s="1"/>
      <c r="G72" s="1"/>
      <c r="H72" s="3"/>
      <c r="I72" s="1"/>
      <c r="J72" s="4"/>
      <c r="K72" s="1"/>
      <c r="L72" s="1"/>
      <c r="M72" s="1"/>
      <c r="N72" s="1"/>
      <c r="O72" s="1"/>
      <c r="P72" s="1"/>
      <c r="Q72" s="1"/>
      <c r="R72" s="1"/>
      <c r="S72" s="1"/>
    </row>
    <row r="73" spans="2:19" ht="15.75">
      <c r="B73" s="1"/>
      <c r="C73" s="8" t="str">
        <f>"D.   Determine FCR with hypothetical "&amp;F13&amp;" basis point ROE increase."</f>
        <v>D.   Determine FCR with hypothetical 0 basis point ROE increase.</v>
      </c>
      <c r="D73" s="2"/>
      <c r="E73" s="1"/>
      <c r="F73" s="1"/>
      <c r="G73" s="1"/>
      <c r="H73" s="3"/>
      <c r="I73" s="1"/>
      <c r="J73" s="4"/>
      <c r="K73" s="1"/>
      <c r="L73" s="1"/>
      <c r="M73" s="1"/>
      <c r="N73" s="1"/>
      <c r="O73" s="1"/>
      <c r="P73" s="1"/>
      <c r="Q73" s="1"/>
      <c r="R73" s="1"/>
      <c r="S73" s="1"/>
    </row>
    <row r="74" spans="2:19">
      <c r="B74" s="1"/>
      <c r="C74" s="1"/>
      <c r="D74" s="2"/>
      <c r="E74" s="1"/>
      <c r="F74" s="1"/>
      <c r="G74" s="1"/>
      <c r="H74" s="3"/>
      <c r="I74" s="1"/>
      <c r="J74" s="4"/>
      <c r="K74" s="1"/>
      <c r="L74" s="1"/>
      <c r="M74" s="1"/>
      <c r="N74" s="1"/>
      <c r="O74" s="1"/>
      <c r="P74" s="1"/>
      <c r="Q74" s="1"/>
      <c r="R74" s="1"/>
      <c r="S74" s="1"/>
    </row>
    <row r="75" spans="2:19">
      <c r="B75" s="1"/>
      <c r="C75" s="11" t="str">
        <f>+S123</f>
        <v xml:space="preserve">   Net Transmission Plant  (TCOS, ln 37)</v>
      </c>
      <c r="D75" s="2"/>
      <c r="E75" s="1"/>
      <c r="F75" s="63">
        <f>+R123</f>
        <v>657325275.60757732</v>
      </c>
      <c r="G75" s="101"/>
      <c r="H75" s="10"/>
      <c r="J75" s="7"/>
      <c r="P75" s="1"/>
      <c r="Q75" s="1"/>
      <c r="R75" s="1"/>
      <c r="S75" s="1"/>
    </row>
    <row r="76" spans="2:19">
      <c r="B76" s="1"/>
      <c r="C76" s="22" t="str">
        <f>"   Net Revenue Requirement, with "&amp;F13&amp;" Basis Point ROE increase"</f>
        <v xml:space="preserve">   Net Revenue Requirement, with 0 Basis Point ROE increase</v>
      </c>
      <c r="D76" s="2"/>
      <c r="E76" s="1"/>
      <c r="F76" s="102">
        <f>F55</f>
        <v>91670124.906591564</v>
      </c>
      <c r="H76" s="10"/>
      <c r="J76" s="7"/>
      <c r="P76" s="1"/>
      <c r="Q76" s="1"/>
      <c r="R76" s="1"/>
      <c r="S76" s="1"/>
    </row>
    <row r="77" spans="2:19">
      <c r="B77" s="1"/>
      <c r="C77" s="22" t="str">
        <f>"   FCR with "&amp;F13&amp;" Basis Point increase in ROE"</f>
        <v xml:space="preserve">   FCR with 0 Basis Point increase in ROE</v>
      </c>
      <c r="D77" s="2"/>
      <c r="E77" s="1"/>
      <c r="F77" s="103">
        <f>IF(F75=0,0,F76/F75)</f>
        <v>0.13945930319180144</v>
      </c>
      <c r="H77" s="10"/>
      <c r="J77" s="7"/>
      <c r="P77" s="1"/>
      <c r="Q77" s="1"/>
      <c r="R77" s="1"/>
      <c r="S77" s="1"/>
    </row>
    <row r="78" spans="2:19">
      <c r="B78" s="1"/>
      <c r="D78" s="2"/>
      <c r="E78" s="1"/>
      <c r="F78" s="18"/>
      <c r="H78" s="10"/>
      <c r="J78" s="7"/>
      <c r="P78" s="1"/>
      <c r="Q78" s="1"/>
      <c r="R78" s="1"/>
      <c r="S78" s="1"/>
    </row>
    <row r="79" spans="2:19">
      <c r="B79" s="1"/>
      <c r="C79" s="22" t="str">
        <f>"   Net Rev. Req, w / "&amp;F13&amp;" Basis Point ROE increase, less Dep."</f>
        <v xml:space="preserve">   Net Rev. Req, w / 0 Basis Point ROE increase, less Dep.</v>
      </c>
      <c r="D79" s="2"/>
      <c r="E79" s="1"/>
      <c r="F79" s="63">
        <f>F59</f>
        <v>70994269.749269873</v>
      </c>
      <c r="G79" s="101"/>
      <c r="H79" s="10"/>
      <c r="J79" s="7"/>
      <c r="P79" s="1"/>
      <c r="Q79" s="1"/>
      <c r="R79" s="1"/>
      <c r="S79" s="1"/>
    </row>
    <row r="80" spans="2:19">
      <c r="B80" s="1"/>
      <c r="C80" s="22" t="str">
        <f>"   FCR with "&amp;F13&amp;" Basis Point ROE increase, less Depreciation"</f>
        <v xml:space="preserve">   FCR with 0 Basis Point ROE increase, less Depreciation</v>
      </c>
      <c r="D80" s="2"/>
      <c r="E80" s="1"/>
      <c r="F80" s="103">
        <f>IF(F75=0,0,F79/F75)</f>
        <v>0.10800477690995318</v>
      </c>
      <c r="G80" s="103"/>
      <c r="H80" s="10"/>
      <c r="J80" s="7"/>
      <c r="P80" s="1"/>
      <c r="Q80" s="1"/>
      <c r="R80" s="1"/>
      <c r="S80" s="1"/>
    </row>
    <row r="81" spans="2:19">
      <c r="B81" s="1"/>
      <c r="C81" s="11" t="str">
        <f>+S124</f>
        <v xml:space="preserve">   FCR less Depreciation  (TCOS, ln 10)</v>
      </c>
      <c r="D81" s="2"/>
      <c r="E81" s="1"/>
      <c r="F81" s="104">
        <f>+R124</f>
        <v>0.10800477690995318</v>
      </c>
      <c r="H81" s="10"/>
      <c r="J81" s="7"/>
      <c r="P81" s="1"/>
      <c r="Q81" s="1"/>
      <c r="R81" s="1"/>
      <c r="S81" s="1"/>
    </row>
    <row r="82" spans="2:19">
      <c r="B82" s="1"/>
      <c r="C82" s="503" t="str">
        <f>"   Incremental FCR with "&amp;F13&amp;" Basis Point ROE increase, less Depreciation"</f>
        <v xml:space="preserve">   Incremental FCR with 0 Basis Point ROE increase, less Depreciation</v>
      </c>
      <c r="D82" s="504"/>
      <c r="E82" s="504"/>
      <c r="F82" s="103">
        <f>F80-F81</f>
        <v>0</v>
      </c>
      <c r="H82" s="10"/>
      <c r="J82" s="7"/>
      <c r="P82" s="1"/>
      <c r="Q82" s="1"/>
      <c r="R82" s="1"/>
      <c r="S82" s="1"/>
    </row>
    <row r="83" spans="2:19">
      <c r="B83" s="1"/>
      <c r="C83" s="504"/>
      <c r="D83" s="504"/>
      <c r="E83" s="504"/>
      <c r="F83" s="103"/>
      <c r="G83" s="1"/>
      <c r="H83" s="3"/>
      <c r="I83" s="1"/>
      <c r="J83" s="4"/>
      <c r="K83" s="1"/>
      <c r="L83" s="1"/>
      <c r="M83" s="1"/>
      <c r="N83" s="1"/>
      <c r="O83" s="1"/>
      <c r="P83" s="1"/>
      <c r="Q83" s="1"/>
      <c r="R83" s="1"/>
      <c r="S83" s="1"/>
    </row>
    <row r="84" spans="2:19" ht="18.75">
      <c r="B84" s="5" t="s">
        <v>30</v>
      </c>
      <c r="C84" s="71" t="s">
        <v>31</v>
      </c>
      <c r="D84" s="2"/>
      <c r="E84" s="1"/>
      <c r="F84" s="103"/>
      <c r="G84" s="1"/>
      <c r="H84" s="3"/>
      <c r="I84" s="1"/>
      <c r="J84" s="4"/>
      <c r="K84" s="1"/>
      <c r="L84" s="1"/>
      <c r="M84" s="1"/>
      <c r="N84" s="1"/>
      <c r="O84" s="1"/>
      <c r="P84" s="1"/>
      <c r="Q84" s="1"/>
      <c r="R84" s="1"/>
      <c r="S84" s="1"/>
    </row>
    <row r="85" spans="2:19" ht="12.75" customHeight="1">
      <c r="B85" s="5"/>
      <c r="C85" s="71"/>
      <c r="D85" s="2"/>
      <c r="E85" s="1"/>
      <c r="F85" s="103"/>
      <c r="G85" s="1"/>
      <c r="H85" s="3"/>
      <c r="I85" s="1"/>
      <c r="J85" s="4"/>
      <c r="K85" s="1"/>
      <c r="L85" s="1"/>
      <c r="M85" s="1"/>
      <c r="N85" s="1"/>
      <c r="O85" s="1"/>
      <c r="P85" s="1"/>
      <c r="Q85" s="1"/>
      <c r="R85" s="1"/>
      <c r="S85" s="1"/>
    </row>
    <row r="86" spans="2:19" ht="12.75" customHeight="1">
      <c r="B86" s="5"/>
      <c r="C86" s="22" t="s">
        <v>32</v>
      </c>
      <c r="D86" s="2"/>
      <c r="F86" s="97">
        <f>+R125</f>
        <v>896000002.079597</v>
      </c>
      <c r="G86" s="1" t="s">
        <v>274</v>
      </c>
      <c r="H86" s="3"/>
      <c r="I86" s="1"/>
      <c r="J86" s="4"/>
      <c r="K86" s="1"/>
      <c r="L86" s="1"/>
      <c r="M86" s="1"/>
      <c r="N86" s="1"/>
      <c r="O86" s="1"/>
      <c r="P86" s="1"/>
      <c r="Q86" s="1"/>
      <c r="R86" s="1"/>
      <c r="S86" s="1"/>
    </row>
    <row r="87" spans="2:19" ht="12.75" customHeight="1">
      <c r="B87" s="5"/>
      <c r="C87" s="22" t="s">
        <v>33</v>
      </c>
      <c r="D87" s="2"/>
      <c r="F87" s="106">
        <f>R126</f>
        <v>933162111.03339005</v>
      </c>
      <c r="G87" s="1" t="s">
        <v>274</v>
      </c>
      <c r="H87" s="3"/>
      <c r="I87" s="1"/>
      <c r="J87" s="4"/>
      <c r="K87" s="1"/>
      <c r="L87" s="1"/>
      <c r="M87" s="1"/>
      <c r="N87" s="1"/>
      <c r="O87" s="1"/>
      <c r="P87" s="1"/>
      <c r="Q87" s="1"/>
      <c r="R87" s="1"/>
      <c r="S87" s="1"/>
    </row>
    <row r="88" spans="2:19">
      <c r="B88" s="1"/>
      <c r="C88" s="22"/>
      <c r="D88" s="2"/>
      <c r="F88" s="3">
        <f>+F87+F86</f>
        <v>1829162113.112987</v>
      </c>
      <c r="G88" s="63"/>
      <c r="H88" s="3"/>
      <c r="I88" s="1"/>
      <c r="J88" s="4"/>
      <c r="K88" s="1"/>
      <c r="L88" s="1"/>
      <c r="M88" s="1"/>
      <c r="N88" s="1"/>
      <c r="O88" s="1"/>
      <c r="P88" s="1"/>
      <c r="Q88" s="1"/>
      <c r="R88" s="1"/>
      <c r="S88" s="1"/>
    </row>
    <row r="89" spans="2:19">
      <c r="B89" s="1"/>
      <c r="C89" s="22" t="str">
        <f>S127</f>
        <v>Transmission Plant Average Balance for 2020 (WS A-1 Ln 14 Col (d))</v>
      </c>
      <c r="D89" s="62"/>
      <c r="E89" s="107"/>
      <c r="F89" s="88">
        <f>+F88/2</f>
        <v>914581056.55649352</v>
      </c>
      <c r="G89" s="108"/>
      <c r="H89" s="3"/>
      <c r="I89" s="1"/>
      <c r="J89" s="4"/>
      <c r="K89" s="1"/>
      <c r="L89" s="1"/>
      <c r="M89" s="1"/>
      <c r="N89" s="1"/>
      <c r="O89" s="1"/>
      <c r="P89" s="1"/>
      <c r="Q89" s="1"/>
      <c r="R89" s="1"/>
      <c r="S89" s="1"/>
    </row>
    <row r="90" spans="2:19">
      <c r="B90" s="1"/>
      <c r="C90" s="11" t="str">
        <f>S128</f>
        <v>Annual Depreciation Expense  (TCOS, ln 86)</v>
      </c>
      <c r="D90" s="62"/>
      <c r="E90" s="18"/>
      <c r="F90" s="88">
        <f>R128</f>
        <v>21869903.7143903</v>
      </c>
      <c r="G90" s="1"/>
      <c r="H90" s="3"/>
      <c r="I90" s="1"/>
      <c r="J90" s="4"/>
      <c r="K90" s="1"/>
      <c r="L90" s="1"/>
      <c r="M90" s="1"/>
      <c r="N90" s="1"/>
      <c r="O90" s="1"/>
      <c r="P90" s="1"/>
      <c r="Q90" s="1"/>
      <c r="R90" s="1"/>
      <c r="S90" s="1"/>
    </row>
    <row r="91" spans="2:19">
      <c r="B91" s="1"/>
      <c r="C91" s="22" t="s">
        <v>34</v>
      </c>
      <c r="D91" s="2"/>
      <c r="E91" s="1"/>
      <c r="F91" s="103">
        <f>IF(F89=0,0,F90/F89)</f>
        <v>2.3912482723765446E-2</v>
      </c>
      <c r="G91" s="1"/>
      <c r="H91" s="109"/>
      <c r="I91" s="1"/>
      <c r="J91" s="4"/>
      <c r="K91" s="1"/>
      <c r="L91" s="1"/>
      <c r="M91" s="1"/>
      <c r="N91" s="1"/>
      <c r="O91" s="1"/>
      <c r="P91" s="1"/>
      <c r="Q91" s="1"/>
      <c r="R91" s="1"/>
      <c r="S91" s="1"/>
    </row>
    <row r="92" spans="2:19">
      <c r="B92" s="1"/>
      <c r="C92" s="22" t="s">
        <v>35</v>
      </c>
      <c r="D92" s="2"/>
      <c r="E92" s="1"/>
      <c r="F92" s="110">
        <f>IF(F91=0,0,1/F91)</f>
        <v>41.819162466394545</v>
      </c>
      <c r="H92" s="3"/>
      <c r="I92" s="1"/>
      <c r="J92" s="4"/>
      <c r="K92" s="1"/>
      <c r="L92" s="1"/>
      <c r="M92" s="1"/>
      <c r="N92" s="1"/>
      <c r="O92" s="1"/>
      <c r="P92" s="1"/>
      <c r="Q92" s="1"/>
      <c r="R92" s="1"/>
      <c r="S92" s="1"/>
    </row>
    <row r="93" spans="2:19">
      <c r="B93" s="1"/>
      <c r="C93" s="22" t="s">
        <v>36</v>
      </c>
      <c r="D93" s="2"/>
      <c r="E93" s="1"/>
      <c r="F93" s="111">
        <f>ROUND(F92,0)</f>
        <v>42</v>
      </c>
      <c r="G93" s="1"/>
      <c r="H93" s="3"/>
      <c r="I93" s="1"/>
      <c r="J93" s="4"/>
      <c r="K93" s="1"/>
      <c r="L93" s="1"/>
      <c r="M93" s="1"/>
      <c r="N93" s="1"/>
      <c r="O93" s="1"/>
      <c r="P93" s="1"/>
      <c r="Q93" s="1"/>
      <c r="R93" s="1"/>
      <c r="S93" s="1"/>
    </row>
    <row r="94" spans="2:19">
      <c r="C94" s="178"/>
      <c r="D94" s="158"/>
      <c r="E94" s="158"/>
      <c r="F94" s="158"/>
      <c r="G94" s="115"/>
      <c r="H94" s="115"/>
      <c r="I94" s="175"/>
      <c r="J94" s="175"/>
      <c r="K94" s="175"/>
      <c r="L94" s="175"/>
      <c r="M94" s="175"/>
      <c r="N94" s="175"/>
      <c r="O94" s="4"/>
      <c r="P94" s="4"/>
      <c r="Q94" s="1"/>
      <c r="R94" s="1"/>
      <c r="S94" s="1"/>
    </row>
    <row r="95" spans="2:19">
      <c r="C95" s="178"/>
      <c r="D95" s="158"/>
      <c r="E95" s="158"/>
      <c r="F95" s="158"/>
      <c r="G95" s="115"/>
      <c r="H95" s="115"/>
      <c r="I95" s="175"/>
      <c r="J95" s="175"/>
      <c r="K95" s="175"/>
      <c r="L95" s="175"/>
      <c r="M95" s="175"/>
      <c r="N95" s="175"/>
      <c r="O95" s="4"/>
      <c r="P95" s="4"/>
      <c r="Q95" s="1"/>
      <c r="R95" s="1"/>
      <c r="S95" s="1"/>
    </row>
    <row r="96" spans="2:19">
      <c r="J96" s="7"/>
      <c r="P96" s="1"/>
      <c r="Q96" s="1"/>
      <c r="R96" s="1"/>
      <c r="S96" s="1"/>
    </row>
    <row r="97" spans="3:19">
      <c r="J97" s="7"/>
      <c r="P97" s="1"/>
      <c r="Q97" s="1"/>
      <c r="R97" s="233" t="s">
        <v>121</v>
      </c>
      <c r="S97" t="s">
        <v>122</v>
      </c>
    </row>
    <row r="98" spans="3:19">
      <c r="J98" s="7"/>
      <c r="P98" s="1"/>
      <c r="Q98" s="1"/>
    </row>
    <row r="99" spans="3:19">
      <c r="C99" s="240" t="s">
        <v>117</v>
      </c>
      <c r="J99" s="7"/>
      <c r="L99" s="240" t="s">
        <v>116</v>
      </c>
      <c r="P99" s="1"/>
      <c r="Q99" s="1"/>
    </row>
    <row r="100" spans="3:19">
      <c r="J100" s="7"/>
      <c r="P100" s="1"/>
      <c r="Q100" s="1"/>
      <c r="S100" s="232" t="s">
        <v>114</v>
      </c>
    </row>
    <row r="101" spans="3:19">
      <c r="J101" s="7"/>
      <c r="P101" s="1"/>
      <c r="Q101" s="1"/>
      <c r="R101" s="233" t="s">
        <v>110</v>
      </c>
      <c r="S101" s="236" t="s">
        <v>115</v>
      </c>
    </row>
    <row r="102" spans="3:19" ht="13.5" thickBot="1">
      <c r="J102" s="7"/>
      <c r="P102" s="1"/>
      <c r="Q102" s="1"/>
      <c r="R102" s="235" t="s">
        <v>137</v>
      </c>
    </row>
    <row r="103" spans="3:19">
      <c r="J103" s="7"/>
      <c r="P103" s="1"/>
      <c r="Q103" s="1"/>
      <c r="R103" s="459" t="s">
        <v>139</v>
      </c>
      <c r="S103" s="460" t="s">
        <v>138</v>
      </c>
    </row>
    <row r="104" spans="3:19">
      <c r="J104" s="7"/>
      <c r="P104" s="1"/>
      <c r="Q104" s="1"/>
      <c r="R104" s="403">
        <v>2020</v>
      </c>
      <c r="S104" s="468" t="s">
        <v>313</v>
      </c>
    </row>
    <row r="105" spans="3:19">
      <c r="J105" s="7"/>
      <c r="P105" s="1"/>
      <c r="Q105" s="1"/>
      <c r="R105" s="463">
        <v>0.105</v>
      </c>
      <c r="S105" s="18" t="s">
        <v>346</v>
      </c>
    </row>
    <row r="106" spans="3:19">
      <c r="J106" s="7"/>
      <c r="P106" s="1"/>
      <c r="Q106" s="1"/>
      <c r="R106" s="482">
        <v>0</v>
      </c>
      <c r="S106" s="468" t="s">
        <v>1</v>
      </c>
    </row>
    <row r="107" spans="3:19">
      <c r="J107" s="7"/>
      <c r="P107" s="1"/>
      <c r="Q107" s="1"/>
      <c r="R107" s="483">
        <v>0.49365436170031152</v>
      </c>
      <c r="S107" s="469" t="s">
        <v>104</v>
      </c>
    </row>
    <row r="108" spans="3:19">
      <c r="J108" s="7"/>
      <c r="P108" s="1"/>
      <c r="Q108" s="1"/>
      <c r="R108" s="483">
        <v>4.3807436290491567E-2</v>
      </c>
      <c r="S108" s="469" t="s">
        <v>105</v>
      </c>
    </row>
    <row r="109" spans="3:19">
      <c r="J109" s="7"/>
      <c r="P109" s="1"/>
      <c r="Q109" s="1"/>
      <c r="R109" s="483">
        <v>0</v>
      </c>
      <c r="S109" s="469" t="s">
        <v>106</v>
      </c>
    </row>
    <row r="110" spans="3:19">
      <c r="J110" s="7"/>
      <c r="P110" s="1"/>
      <c r="Q110" s="1"/>
      <c r="R110" s="483">
        <v>0</v>
      </c>
      <c r="S110" s="469" t="s">
        <v>107</v>
      </c>
    </row>
    <row r="111" spans="3:19">
      <c r="J111" s="7"/>
      <c r="P111" s="1"/>
      <c r="Q111" s="1"/>
      <c r="R111" s="483">
        <v>0.50634563829968859</v>
      </c>
      <c r="S111" s="470" t="s">
        <v>108</v>
      </c>
    </row>
    <row r="112" spans="3:19">
      <c r="J112" s="7"/>
      <c r="P112" s="1"/>
      <c r="Q112" s="1"/>
      <c r="R112" s="471">
        <v>502001015.96374404</v>
      </c>
      <c r="S112" s="472" t="s">
        <v>347</v>
      </c>
    </row>
    <row r="113" spans="3:19">
      <c r="J113" s="7"/>
      <c r="P113" s="1"/>
      <c r="Q113" s="1"/>
      <c r="R113" s="473">
        <v>0.2533709999999999</v>
      </c>
      <c r="S113" s="468" t="s">
        <v>348</v>
      </c>
    </row>
    <row r="114" spans="3:19">
      <c r="J114" s="7"/>
      <c r="P114" s="1"/>
      <c r="Q114" s="1"/>
      <c r="R114" s="474">
        <v>-329936.56356661161</v>
      </c>
      <c r="S114" s="468" t="s">
        <v>349</v>
      </c>
    </row>
    <row r="115" spans="3:19">
      <c r="J115" s="7"/>
      <c r="P115" s="1"/>
      <c r="Q115" s="1"/>
      <c r="R115" s="474">
        <v>-4189348.9269771185</v>
      </c>
      <c r="S115" s="468" t="s">
        <v>343</v>
      </c>
    </row>
    <row r="116" spans="3:19">
      <c r="J116" s="7"/>
      <c r="P116" s="1"/>
      <c r="Q116" s="1"/>
      <c r="R116" s="474">
        <v>63864.38244429294</v>
      </c>
      <c r="S116" s="468" t="s">
        <v>350</v>
      </c>
    </row>
    <row r="117" spans="3:19">
      <c r="J117" s="7"/>
      <c r="P117" s="1"/>
      <c r="Q117" s="1"/>
      <c r="R117" s="474">
        <v>91670124.906591564</v>
      </c>
      <c r="S117" s="468" t="s">
        <v>351</v>
      </c>
    </row>
    <row r="118" spans="3:19">
      <c r="J118" s="7"/>
      <c r="P118" s="1"/>
      <c r="Q118" s="1"/>
      <c r="R118" s="474">
        <v>37545672.044615589</v>
      </c>
      <c r="S118" s="468" t="s">
        <v>352</v>
      </c>
    </row>
    <row r="119" spans="3:19">
      <c r="C119" s="1"/>
      <c r="D119" s="2"/>
      <c r="E119" s="1"/>
      <c r="F119" s="1"/>
      <c r="G119" s="1"/>
      <c r="H119" s="3"/>
      <c r="I119" s="1"/>
      <c r="J119" s="4"/>
      <c r="K119" s="1"/>
      <c r="L119" s="1"/>
      <c r="M119" s="1"/>
      <c r="N119" s="1"/>
      <c r="O119" s="1"/>
      <c r="P119" s="1"/>
      <c r="Q119" s="1"/>
      <c r="R119" s="474">
        <v>4601759.3213749854</v>
      </c>
      <c r="S119" s="468" t="s">
        <v>353</v>
      </c>
    </row>
    <row r="120" spans="3:19">
      <c r="C120" s="1"/>
      <c r="D120" s="2"/>
      <c r="E120" s="1"/>
      <c r="F120" s="1"/>
      <c r="G120" s="1"/>
      <c r="H120" s="3"/>
      <c r="I120" s="1"/>
      <c r="J120" s="4"/>
      <c r="K120" s="1"/>
      <c r="L120" s="1"/>
      <c r="M120" s="1"/>
      <c r="N120" s="1"/>
      <c r="O120" s="1"/>
      <c r="P120" s="1"/>
      <c r="Q120" s="1"/>
      <c r="R120" s="474">
        <v>0</v>
      </c>
      <c r="S120" s="468" t="s">
        <v>354</v>
      </c>
    </row>
    <row r="121" spans="3:19">
      <c r="C121" s="1"/>
      <c r="D121" s="2"/>
      <c r="E121" s="1"/>
      <c r="F121" s="1"/>
      <c r="G121" s="1"/>
      <c r="H121" s="3"/>
      <c r="I121" s="1"/>
      <c r="J121" s="4"/>
      <c r="K121" s="1"/>
      <c r="L121" s="1"/>
      <c r="M121" s="1"/>
      <c r="N121" s="1"/>
      <c r="O121" s="1"/>
      <c r="P121" s="1"/>
      <c r="Q121" s="1"/>
      <c r="R121" s="474">
        <v>20675855.157321699</v>
      </c>
      <c r="S121" s="468" t="s">
        <v>355</v>
      </c>
    </row>
    <row r="122" spans="3:19">
      <c r="C122" s="1"/>
      <c r="D122" s="2"/>
      <c r="E122" s="1"/>
      <c r="F122" s="1"/>
      <c r="G122" s="1"/>
      <c r="H122" s="3"/>
      <c r="I122" s="1"/>
      <c r="J122" s="4"/>
      <c r="K122" s="1"/>
      <c r="L122" s="1"/>
      <c r="M122" s="1"/>
      <c r="N122" s="1"/>
      <c r="O122" s="1"/>
      <c r="P122" s="1"/>
      <c r="Q122" s="1"/>
      <c r="R122" s="473">
        <v>0</v>
      </c>
      <c r="S122" s="468" t="s">
        <v>113</v>
      </c>
    </row>
    <row r="123" spans="3:19">
      <c r="C123" s="1"/>
      <c r="D123" s="2"/>
      <c r="E123" s="1"/>
      <c r="F123" s="1"/>
      <c r="G123" s="1"/>
      <c r="H123" s="3"/>
      <c r="I123" s="1"/>
      <c r="J123" s="4"/>
      <c r="K123" s="1"/>
      <c r="L123" s="1"/>
      <c r="M123" s="1"/>
      <c r="N123" s="1"/>
      <c r="O123" s="1"/>
      <c r="P123" s="1"/>
      <c r="Q123" s="1"/>
      <c r="R123" s="474">
        <v>657325275.60757732</v>
      </c>
      <c r="S123" s="468" t="s">
        <v>314</v>
      </c>
    </row>
    <row r="124" spans="3:19">
      <c r="C124" s="1"/>
      <c r="D124" s="2"/>
      <c r="E124" s="1"/>
      <c r="F124" s="1"/>
      <c r="G124" s="1"/>
      <c r="H124" s="3"/>
      <c r="I124" s="1"/>
      <c r="J124" s="4"/>
      <c r="K124" s="1"/>
      <c r="L124" s="1"/>
      <c r="M124" s="1"/>
      <c r="N124" s="1"/>
      <c r="O124" s="1"/>
      <c r="P124" s="1"/>
      <c r="Q124" s="1"/>
      <c r="R124" s="492">
        <v>0.10800477690995318</v>
      </c>
      <c r="S124" s="475" t="s">
        <v>315</v>
      </c>
    </row>
    <row r="125" spans="3:19">
      <c r="C125" s="1"/>
      <c r="D125" s="2"/>
      <c r="E125" s="1"/>
      <c r="F125" s="1"/>
      <c r="G125" s="1"/>
      <c r="H125" s="3"/>
      <c r="I125" s="1"/>
      <c r="J125" s="4"/>
      <c r="K125" s="1"/>
      <c r="L125" s="1"/>
      <c r="M125" s="1"/>
      <c r="N125" s="1"/>
      <c r="O125" s="1"/>
      <c r="P125" s="1"/>
      <c r="Q125" s="1"/>
      <c r="R125" s="476">
        <v>896000002.079597</v>
      </c>
      <c r="S125" s="469" t="s">
        <v>316</v>
      </c>
    </row>
    <row r="126" spans="3:19">
      <c r="C126" s="1"/>
      <c r="D126" s="2"/>
      <c r="E126" s="1"/>
      <c r="F126" s="1"/>
      <c r="G126" s="1"/>
      <c r="H126" s="3"/>
      <c r="I126" s="1"/>
      <c r="J126" s="4"/>
      <c r="K126" s="1"/>
      <c r="L126" s="1"/>
      <c r="M126" s="1"/>
      <c r="N126" s="1"/>
      <c r="O126" s="1"/>
      <c r="P126" s="1"/>
      <c r="Q126" s="1"/>
      <c r="R126" s="476">
        <v>933162111.03339005</v>
      </c>
      <c r="S126" s="470" t="s">
        <v>317</v>
      </c>
    </row>
    <row r="127" spans="3:19">
      <c r="C127" s="1"/>
      <c r="D127" s="2"/>
      <c r="E127" s="1"/>
      <c r="F127" s="1"/>
      <c r="G127" s="1"/>
      <c r="H127" s="3"/>
      <c r="I127" s="1"/>
      <c r="J127" s="4"/>
      <c r="K127" s="1"/>
      <c r="L127" s="1"/>
      <c r="M127" s="1"/>
      <c r="N127" s="1"/>
      <c r="O127" s="1"/>
      <c r="P127" s="1"/>
      <c r="Q127" s="1"/>
      <c r="R127" s="476">
        <v>907863136.46006536</v>
      </c>
      <c r="S127" s="477" t="s">
        <v>356</v>
      </c>
    </row>
    <row r="128" spans="3:19" ht="13.5" thickBot="1">
      <c r="C128" s="1"/>
      <c r="D128" s="2"/>
      <c r="E128" s="1"/>
      <c r="F128" s="1"/>
      <c r="G128" s="1"/>
      <c r="H128" s="3"/>
      <c r="I128" s="1"/>
      <c r="J128" s="4"/>
      <c r="K128" s="1"/>
      <c r="L128" s="1"/>
      <c r="M128" s="1"/>
      <c r="N128" s="1"/>
      <c r="O128" s="1"/>
      <c r="P128" s="1"/>
      <c r="Q128" s="1"/>
      <c r="R128" s="480">
        <v>21869903.7143903</v>
      </c>
      <c r="S128" s="478" t="s">
        <v>357</v>
      </c>
    </row>
    <row r="129" spans="3:19">
      <c r="C129" s="1"/>
      <c r="D129" s="2"/>
      <c r="E129" s="1"/>
      <c r="F129" s="1"/>
      <c r="G129" s="1"/>
      <c r="H129" s="3"/>
      <c r="I129" s="1"/>
      <c r="J129" s="4"/>
      <c r="K129" s="1"/>
      <c r="L129" s="1"/>
      <c r="M129" s="1"/>
      <c r="N129" s="1"/>
      <c r="O129" s="1"/>
      <c r="P129" s="1"/>
      <c r="Q129" s="1"/>
      <c r="R129" s="1"/>
      <c r="S129" s="1"/>
    </row>
    <row r="130" spans="3:19">
      <c r="C130" s="1"/>
      <c r="D130" s="2"/>
      <c r="E130" s="1"/>
      <c r="F130" s="1"/>
      <c r="G130" s="1"/>
      <c r="H130" s="3"/>
      <c r="I130" s="1"/>
      <c r="J130" s="4"/>
      <c r="K130" s="1"/>
      <c r="L130" s="1"/>
      <c r="M130" s="1"/>
      <c r="N130" s="1"/>
      <c r="O130" s="1"/>
      <c r="P130" s="1"/>
      <c r="Q130" s="1"/>
      <c r="R130" s="233" t="s">
        <v>111</v>
      </c>
      <c r="S130" s="1" t="s">
        <v>125</v>
      </c>
    </row>
    <row r="131" spans="3:19" ht="13.5" thickBot="1">
      <c r="C131" s="1"/>
      <c r="D131" s="2"/>
      <c r="E131" s="1"/>
      <c r="F131" s="1"/>
      <c r="G131" s="1"/>
      <c r="H131" s="3"/>
      <c r="I131" s="1"/>
      <c r="J131" s="4"/>
      <c r="K131" s="1"/>
      <c r="L131" s="1"/>
      <c r="M131" s="1"/>
      <c r="N131" s="1"/>
      <c r="O131" s="1"/>
      <c r="P131" s="1"/>
      <c r="Q131" s="1"/>
      <c r="R131" s="235" t="s">
        <v>109</v>
      </c>
      <c r="S131" s="1"/>
    </row>
    <row r="132" spans="3:19">
      <c r="C132" s="1"/>
      <c r="D132" s="2"/>
      <c r="E132" s="1"/>
      <c r="F132" s="1"/>
      <c r="G132" s="1"/>
      <c r="H132" s="3"/>
      <c r="I132" s="1"/>
      <c r="J132" s="4"/>
      <c r="K132" s="1"/>
      <c r="L132" s="1"/>
      <c r="M132" s="1"/>
      <c r="N132" s="1"/>
      <c r="O132" s="1"/>
      <c r="P132" s="1"/>
      <c r="Q132" s="1"/>
      <c r="R132" s="237">
        <f>+M19</f>
        <v>7973838.7799099376</v>
      </c>
      <c r="S132" s="1" t="str">
        <f>+K19&amp;" "&amp;M17</f>
        <v>PROJECTED YEAR Rev Require</v>
      </c>
    </row>
    <row r="133" spans="3:19">
      <c r="C133" s="22"/>
      <c r="D133" s="86"/>
      <c r="E133" s="22"/>
      <c r="F133" s="22"/>
      <c r="G133" s="22"/>
      <c r="H133" s="88"/>
      <c r="I133" s="1"/>
      <c r="J133" s="4"/>
      <c r="K133" s="1"/>
      <c r="L133" s="1"/>
      <c r="M133" s="1"/>
      <c r="N133" s="1"/>
      <c r="O133" s="1"/>
      <c r="P133" s="1"/>
      <c r="Q133" s="1"/>
      <c r="R133" s="238">
        <f>+N19</f>
        <v>7973838.7799099376</v>
      </c>
      <c r="S133" s="1" t="str">
        <f>K19&amp;" "&amp;N17</f>
        <v>PROJECTED YEAR  W Incentives</v>
      </c>
    </row>
    <row r="134" spans="3:19" ht="13.5" thickBot="1">
      <c r="C134" s="22"/>
      <c r="D134" s="86"/>
      <c r="E134" s="22"/>
      <c r="F134" s="22"/>
      <c r="G134" s="22"/>
      <c r="H134" s="88"/>
      <c r="I134" s="1"/>
      <c r="J134" s="4"/>
      <c r="K134" s="1"/>
      <c r="L134" s="1"/>
      <c r="M134" s="1"/>
      <c r="N134" s="1"/>
      <c r="O134" s="1"/>
      <c r="P134" s="1"/>
      <c r="Q134" s="1"/>
      <c r="R134" s="239">
        <f>+O19</f>
        <v>0</v>
      </c>
      <c r="S134" s="1" t="str">
        <f>K19&amp;" "&amp;O17</f>
        <v>PROJECTED YEAR Incentive Amounts</v>
      </c>
    </row>
    <row r="135" spans="3:19">
      <c r="C135" s="22"/>
      <c r="D135" s="86"/>
      <c r="E135" s="22"/>
      <c r="F135" s="22"/>
      <c r="G135" s="22"/>
      <c r="H135" s="88"/>
      <c r="I135" s="1"/>
      <c r="J135" s="4"/>
      <c r="K135" s="1"/>
      <c r="L135" s="1"/>
      <c r="M135" s="1"/>
      <c r="N135" s="1"/>
      <c r="O135" s="1"/>
      <c r="P135" s="1"/>
      <c r="Q135" s="1"/>
      <c r="R135" s="1"/>
      <c r="S135" s="1"/>
    </row>
    <row r="136" spans="3:19">
      <c r="C136" s="22"/>
      <c r="D136" s="86"/>
      <c r="E136" s="22"/>
      <c r="F136" s="22"/>
      <c r="G136" s="22"/>
      <c r="H136" s="88"/>
      <c r="I136" s="1"/>
      <c r="J136" s="4"/>
      <c r="K136" s="1"/>
      <c r="L136" s="1"/>
      <c r="M136" s="1"/>
      <c r="N136" s="1"/>
      <c r="O136" s="1"/>
      <c r="P136" s="1"/>
      <c r="Q136" s="1"/>
      <c r="R136" s="1"/>
      <c r="S136" s="1"/>
    </row>
    <row r="137" spans="3:19">
      <c r="C137" s="22"/>
      <c r="D137" s="86"/>
      <c r="E137" s="22"/>
      <c r="F137" s="22"/>
      <c r="G137" s="22"/>
      <c r="H137" s="88"/>
      <c r="I137" s="1"/>
      <c r="J137" s="4"/>
      <c r="K137" s="1"/>
      <c r="L137" s="1"/>
      <c r="M137" s="1"/>
      <c r="N137" s="1"/>
      <c r="O137" s="1"/>
      <c r="P137" s="1"/>
      <c r="Q137" s="1"/>
      <c r="R137" s="233" t="s">
        <v>123</v>
      </c>
      <c r="S137" s="232" t="s">
        <v>124</v>
      </c>
    </row>
  </sheetData>
  <mergeCells count="8">
    <mergeCell ref="K15:O16"/>
    <mergeCell ref="C8:H8"/>
    <mergeCell ref="C82:E83"/>
    <mergeCell ref="A1:J1"/>
    <mergeCell ref="A2:J2"/>
    <mergeCell ref="A3:J3"/>
    <mergeCell ref="A5:J5"/>
    <mergeCell ref="A4:J4"/>
  </mergeCells>
  <phoneticPr fontId="0" type="noConversion"/>
  <printOptions horizontalCentered="1"/>
  <pageMargins left="0.25" right="0.25" top="0.75" bottom="0.25" header="0.25" footer="0.5"/>
  <pageSetup scale="41" fitToHeight="2" orientation="landscape" r:id="rId1"/>
  <headerFooter alignWithMargins="0">
    <oddHeader xml:space="preserve">&amp;R&amp;16AEP - SPP Formula Rate
PSO TCOS - WS F
Page: &amp;P of &amp;N
</oddHeader>
    <oddFooter xml:space="preserve">&amp;C &amp;R </odd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/>
  <dimension ref="A1:P162"/>
  <sheetViews>
    <sheetView view="pageBreakPreview" topLeftCell="A64" zoomScale="80" zoomScaleNormal="100" zoomScaleSheetLayoutView="80" workbookViewId="0">
      <selection activeCell="J19" sqref="J19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"&amp;RIGHT(MID(CELL("filename",$A$1),FIND("]",CELL("filename",$A$1))+1,256),2)&amp;" of "&amp;COUNT('P.001:P.xyz - blank'!$P$3)-1</f>
        <v>PSO Project 17 of 28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275</v>
      </c>
      <c r="L5" s="119"/>
      <c r="M5" s="120"/>
      <c r="N5" s="121">
        <f>VLOOKUP(I10,C17:I72,5)</f>
        <v>205069.7033172223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276</v>
      </c>
      <c r="L6" s="125"/>
      <c r="M6" s="4"/>
      <c r="N6" s="126">
        <f>VLOOKUP(I10,C17:I72,6)</f>
        <v>205069.7033172223</v>
      </c>
      <c r="O6" s="1"/>
      <c r="P6" s="1"/>
    </row>
    <row r="7" spans="1:16" ht="13.5" thickBot="1">
      <c r="C7" s="127" t="s">
        <v>41</v>
      </c>
      <c r="D7" s="425" t="s">
        <v>256</v>
      </c>
      <c r="E7" s="405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 t="str">
        <f>IF(D10&lt;100000,"DOES NOT MEET SPP $100,000 MINIMUM INVESTMENT FOR REGIONAL BPU SHARING.","")</f>
        <v/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43</v>
      </c>
      <c r="D9" s="229" t="s">
        <v>255</v>
      </c>
      <c r="E9" s="427" t="s">
        <v>329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1692023</v>
      </c>
      <c r="E10" s="64" t="s">
        <v>46</v>
      </c>
      <c r="F10" s="137"/>
      <c r="G10" s="139"/>
      <c r="H10" s="139"/>
      <c r="I10" s="140">
        <f>+PSO.WS.F.BPU.ATRR.Projected!L19</f>
        <v>2020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2015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12</v>
      </c>
      <c r="E12" s="141" t="s">
        <v>51</v>
      </c>
      <c r="F12" s="139"/>
      <c r="G12" s="7"/>
      <c r="H12" s="7"/>
      <c r="I12" s="145">
        <f>PSO.WS.F.BPU.ATRR.Projected!$F$81</f>
        <v>0.10800477690995318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42</v>
      </c>
      <c r="E13" s="141" t="s">
        <v>54</v>
      </c>
      <c r="F13" s="139"/>
      <c r="G13" s="7"/>
      <c r="H13" s="7"/>
      <c r="I13" s="145">
        <f>IF(G5="",I12,PSO.WS.F.BPU.ATRR.Projected!$F$80)</f>
        <v>0.10800477690995318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40286.261904761908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277</v>
      </c>
      <c r="H15" s="362" t="s">
        <v>278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0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2015</v>
      </c>
      <c r="D17" s="435">
        <v>1500000</v>
      </c>
      <c r="E17" s="440">
        <v>0</v>
      </c>
      <c r="F17" s="435">
        <v>1500000</v>
      </c>
      <c r="G17" s="440">
        <v>206807.48514960654</v>
      </c>
      <c r="H17" s="438">
        <v>206807.48514960654</v>
      </c>
      <c r="I17" s="160">
        <v>0</v>
      </c>
      <c r="J17" s="160"/>
      <c r="K17" s="338">
        <f>G17</f>
        <v>206807.48514960654</v>
      </c>
      <c r="L17" s="439">
        <f>IF(K17&lt;&gt;0,+G17-K17,0)</f>
        <v>0</v>
      </c>
      <c r="M17" s="338">
        <f>H17</f>
        <v>206807.48514960654</v>
      </c>
      <c r="N17" s="162">
        <f>IF(M17&lt;&gt;0,+H17-M17,0)</f>
        <v>0</v>
      </c>
      <c r="O17" s="160">
        <f>+N17-L17</f>
        <v>0</v>
      </c>
      <c r="P17" s="4"/>
    </row>
    <row r="18" spans="2:16">
      <c r="B18" s="9" t="str">
        <f>IF(D18=F17,"","IU")</f>
        <v>IU</v>
      </c>
      <c r="C18" s="157">
        <f>IF(D11="","-",+C17+1)</f>
        <v>2016</v>
      </c>
      <c r="D18" s="435">
        <v>1777912</v>
      </c>
      <c r="E18" s="436">
        <v>34190.615384615383</v>
      </c>
      <c r="F18" s="435">
        <v>1743721.3846153845</v>
      </c>
      <c r="G18" s="436">
        <v>262896.61538461538</v>
      </c>
      <c r="H18" s="438">
        <v>262896.61538461538</v>
      </c>
      <c r="I18" s="160">
        <f>H18-G18</f>
        <v>0</v>
      </c>
      <c r="J18" s="160"/>
      <c r="K18" s="338">
        <f>G18</f>
        <v>262896.61538461538</v>
      </c>
      <c r="L18" s="439">
        <f>IF(K18&lt;&gt;0,+G18-K18,0)</f>
        <v>0</v>
      </c>
      <c r="M18" s="338">
        <f>H18</f>
        <v>262896.61538461538</v>
      </c>
      <c r="N18" s="162">
        <f>IF(M18&lt;&gt;0,+H18-M18,0)</f>
        <v>0</v>
      </c>
      <c r="O18" s="160">
        <f>+N18-L18</f>
        <v>0</v>
      </c>
      <c r="P18" s="4"/>
    </row>
    <row r="19" spans="2:16">
      <c r="B19" s="9" t="str">
        <f>IF(D19=F18,"","IU")</f>
        <v>IU</v>
      </c>
      <c r="C19" s="157">
        <f>IF(D11="","-",+C18+1)</f>
        <v>2017</v>
      </c>
      <c r="D19" s="435">
        <v>1657832.3846153845</v>
      </c>
      <c r="E19" s="436">
        <v>36783.108695652176</v>
      </c>
      <c r="F19" s="435">
        <v>1621049.2759197324</v>
      </c>
      <c r="G19" s="436">
        <v>243079.10869565216</v>
      </c>
      <c r="H19" s="438">
        <v>243079.10869565216</v>
      </c>
      <c r="I19" s="160">
        <v>0</v>
      </c>
      <c r="J19" s="160"/>
      <c r="K19" s="338">
        <f>G19</f>
        <v>243079.10869565216</v>
      </c>
      <c r="L19" s="439">
        <f>IF(K19&lt;&gt;0,+G19-K19,0)</f>
        <v>0</v>
      </c>
      <c r="M19" s="338">
        <f>H19</f>
        <v>243079.10869565216</v>
      </c>
      <c r="N19" s="162">
        <f>IF(M19&lt;&gt;0,+H19-M19,0)</f>
        <v>0</v>
      </c>
      <c r="O19" s="160">
        <f>+N19-L19</f>
        <v>0</v>
      </c>
      <c r="P19" s="4"/>
    </row>
    <row r="20" spans="2:16">
      <c r="B20" s="9" t="str">
        <f t="shared" ref="B20:B72" si="0">IF(D20=F19,"","IU")</f>
        <v/>
      </c>
      <c r="C20" s="157">
        <f>IF(D11="","-",+C19+1)</f>
        <v>2018</v>
      </c>
      <c r="D20" s="435">
        <v>1621049.2759197324</v>
      </c>
      <c r="E20" s="436">
        <v>37600.511111111111</v>
      </c>
      <c r="F20" s="435">
        <v>1583448.7648086213</v>
      </c>
      <c r="G20" s="436">
        <v>251897.51111111112</v>
      </c>
      <c r="H20" s="438">
        <v>251897.51111111112</v>
      </c>
      <c r="I20" s="160">
        <f t="shared" ref="I20:I72" si="1">H20-G20</f>
        <v>0</v>
      </c>
      <c r="J20" s="160"/>
      <c r="K20" s="338">
        <f>G20</f>
        <v>251897.51111111112</v>
      </c>
      <c r="L20" s="439">
        <f>IF(K20&lt;&gt;0,+G20-K20,0)</f>
        <v>0</v>
      </c>
      <c r="M20" s="338">
        <f>H20</f>
        <v>251897.51111111112</v>
      </c>
      <c r="N20" s="162">
        <f>IF(M20&lt;&gt;0,+H20-M20,0)</f>
        <v>0</v>
      </c>
      <c r="O20" s="160">
        <f>+N20-L20</f>
        <v>0</v>
      </c>
      <c r="P20" s="4"/>
    </row>
    <row r="21" spans="2:16">
      <c r="B21" s="9" t="str">
        <f t="shared" si="0"/>
        <v/>
      </c>
      <c r="C21" s="157">
        <f>IF(D11="","-",+C20+1)</f>
        <v>2019</v>
      </c>
      <c r="D21" s="435">
        <v>1583448.7648086213</v>
      </c>
      <c r="E21" s="436">
        <v>37600.511111111111</v>
      </c>
      <c r="F21" s="435">
        <v>1545848.2536975101</v>
      </c>
      <c r="G21" s="436">
        <v>246808.51111111112</v>
      </c>
      <c r="H21" s="438">
        <v>246808.51111111112</v>
      </c>
      <c r="I21" s="160">
        <f t="shared" si="1"/>
        <v>0</v>
      </c>
      <c r="J21" s="160"/>
      <c r="K21" s="338">
        <f>G21</f>
        <v>246808.51111111112</v>
      </c>
      <c r="L21" s="439">
        <f>IF(K21&lt;&gt;0,+G21-K21,0)</f>
        <v>0</v>
      </c>
      <c r="M21" s="338">
        <f>H21</f>
        <v>246808.51111111112</v>
      </c>
      <c r="N21" s="162">
        <f>IF(M21&lt;&gt;0,+H21-M21,0)</f>
        <v>0</v>
      </c>
      <c r="O21" s="160">
        <f>+N21-L21</f>
        <v>0</v>
      </c>
      <c r="P21" s="4"/>
    </row>
    <row r="22" spans="2:16">
      <c r="B22" s="9" t="str">
        <f t="shared" si="0"/>
        <v/>
      </c>
      <c r="C22" s="157">
        <f>IF(D11="","-",+C21+1)</f>
        <v>2020</v>
      </c>
      <c r="D22" s="432">
        <f>IF(F21+SUM(E$17:E21)=D$10,F21,D$10-SUM(E$17:E21))</f>
        <v>1545848.2536975101</v>
      </c>
      <c r="E22" s="164">
        <f t="shared" ref="E22:E72" si="2">IF(+$I$14&lt;F21,$I$14,D22)</f>
        <v>40286.261904761908</v>
      </c>
      <c r="F22" s="203">
        <f t="shared" ref="F22:F72" si="3">+D22-E22</f>
        <v>1505561.9917927482</v>
      </c>
      <c r="G22" s="164">
        <f t="shared" ref="G22:G72" si="4">(D22+F22)/2*I$12+E22</f>
        <v>205069.7033172223</v>
      </c>
      <c r="H22" s="147">
        <f t="shared" ref="H22:H72" si="5">+(D22+F22)/2*I$13+E22</f>
        <v>205069.7033172223</v>
      </c>
      <c r="I22" s="160">
        <f t="shared" si="1"/>
        <v>0</v>
      </c>
      <c r="J22" s="160"/>
      <c r="K22" s="335"/>
      <c r="L22" s="162">
        <f t="shared" ref="L22:L72" si="6">IF(K22&lt;&gt;0,+G22-K22,0)</f>
        <v>0</v>
      </c>
      <c r="M22" s="335"/>
      <c r="N22" s="162">
        <f t="shared" ref="N22:N72" si="7">IF(M22&lt;&gt;0,+H22-M22,0)</f>
        <v>0</v>
      </c>
      <c r="O22" s="162">
        <f t="shared" ref="O22:O72" si="8">+N22-L22</f>
        <v>0</v>
      </c>
      <c r="P22" s="4"/>
    </row>
    <row r="23" spans="2:16">
      <c r="B23" s="9" t="str">
        <f t="shared" si="0"/>
        <v/>
      </c>
      <c r="C23" s="157">
        <f>IF(D11="","-",+C22+1)</f>
        <v>2021</v>
      </c>
      <c r="D23" s="432">
        <f>IF(F22+SUM(E$17:E22)=D$10,F22,D$10-SUM(E$17:E22))</f>
        <v>1505561.9917927482</v>
      </c>
      <c r="E23" s="164">
        <f t="shared" si="2"/>
        <v>40286.261904761908</v>
      </c>
      <c r="F23" s="203">
        <f t="shared" si="3"/>
        <v>1465275.7298879863</v>
      </c>
      <c r="G23" s="164">
        <f t="shared" si="4"/>
        <v>200718.59458766255</v>
      </c>
      <c r="H23" s="147">
        <f t="shared" si="5"/>
        <v>200718.59458766255</v>
      </c>
      <c r="I23" s="160">
        <f t="shared" si="1"/>
        <v>0</v>
      </c>
      <c r="J23" s="160"/>
      <c r="K23" s="335"/>
      <c r="L23" s="162">
        <f t="shared" si="6"/>
        <v>0</v>
      </c>
      <c r="M23" s="335"/>
      <c r="N23" s="162">
        <f t="shared" si="7"/>
        <v>0</v>
      </c>
      <c r="O23" s="162">
        <f t="shared" si="8"/>
        <v>0</v>
      </c>
      <c r="P23" s="4"/>
    </row>
    <row r="24" spans="2:16">
      <c r="B24" s="9" t="str">
        <f t="shared" si="0"/>
        <v/>
      </c>
      <c r="C24" s="157">
        <f>IF(D11="","-",+C23+1)</f>
        <v>2022</v>
      </c>
      <c r="D24" s="432">
        <f>IF(F23+SUM(E$17:E23)=D$10,F23,D$10-SUM(E$17:E23))</f>
        <v>1465275.7298879863</v>
      </c>
      <c r="E24" s="164">
        <f t="shared" si="2"/>
        <v>40286.261904761908</v>
      </c>
      <c r="F24" s="203">
        <f t="shared" si="3"/>
        <v>1424989.4679832244</v>
      </c>
      <c r="G24" s="164">
        <f t="shared" si="4"/>
        <v>196367.48585810279</v>
      </c>
      <c r="H24" s="147">
        <f t="shared" si="5"/>
        <v>196367.48585810279</v>
      </c>
      <c r="I24" s="160">
        <f t="shared" si="1"/>
        <v>0</v>
      </c>
      <c r="J24" s="160"/>
      <c r="K24" s="335"/>
      <c r="L24" s="162">
        <f t="shared" si="6"/>
        <v>0</v>
      </c>
      <c r="M24" s="335"/>
      <c r="N24" s="162">
        <f t="shared" si="7"/>
        <v>0</v>
      </c>
      <c r="O24" s="162">
        <f t="shared" si="8"/>
        <v>0</v>
      </c>
      <c r="P24" s="4"/>
    </row>
    <row r="25" spans="2:16">
      <c r="B25" s="9" t="str">
        <f t="shared" si="0"/>
        <v/>
      </c>
      <c r="C25" s="157">
        <f>IF(D11="","-",+C24+1)</f>
        <v>2023</v>
      </c>
      <c r="D25" s="432">
        <f>IF(F24+SUM(E$17:E24)=D$10,F24,D$10-SUM(E$17:E24))</f>
        <v>1424989.4679832244</v>
      </c>
      <c r="E25" s="164">
        <f t="shared" si="2"/>
        <v>40286.261904761908</v>
      </c>
      <c r="F25" s="203">
        <f t="shared" si="3"/>
        <v>1384703.2060784625</v>
      </c>
      <c r="G25" s="164">
        <f t="shared" si="4"/>
        <v>192016.37712854304</v>
      </c>
      <c r="H25" s="147">
        <f t="shared" si="5"/>
        <v>192016.37712854304</v>
      </c>
      <c r="I25" s="160">
        <f t="shared" si="1"/>
        <v>0</v>
      </c>
      <c r="J25" s="160"/>
      <c r="K25" s="335"/>
      <c r="L25" s="162">
        <f t="shared" si="6"/>
        <v>0</v>
      </c>
      <c r="M25" s="335"/>
      <c r="N25" s="162">
        <f t="shared" si="7"/>
        <v>0</v>
      </c>
      <c r="O25" s="162">
        <f t="shared" si="8"/>
        <v>0</v>
      </c>
      <c r="P25" s="4"/>
    </row>
    <row r="26" spans="2:16">
      <c r="B26" s="9" t="str">
        <f t="shared" si="0"/>
        <v/>
      </c>
      <c r="C26" s="157">
        <f>IF(D11="","-",+C25+1)</f>
        <v>2024</v>
      </c>
      <c r="D26" s="432">
        <f>IF(F25+SUM(E$17:E25)=D$10,F25,D$10-SUM(E$17:E25))</f>
        <v>1384703.2060784625</v>
      </c>
      <c r="E26" s="164">
        <f t="shared" si="2"/>
        <v>40286.261904761908</v>
      </c>
      <c r="F26" s="203">
        <f t="shared" si="3"/>
        <v>1344416.9441737006</v>
      </c>
      <c r="G26" s="164">
        <f t="shared" si="4"/>
        <v>187665.26839898329</v>
      </c>
      <c r="H26" s="147">
        <f t="shared" si="5"/>
        <v>187665.26839898329</v>
      </c>
      <c r="I26" s="160">
        <f t="shared" si="1"/>
        <v>0</v>
      </c>
      <c r="J26" s="160"/>
      <c r="K26" s="335"/>
      <c r="L26" s="162">
        <f t="shared" si="6"/>
        <v>0</v>
      </c>
      <c r="M26" s="335"/>
      <c r="N26" s="162">
        <f t="shared" si="7"/>
        <v>0</v>
      </c>
      <c r="O26" s="162">
        <f t="shared" si="8"/>
        <v>0</v>
      </c>
      <c r="P26" s="4"/>
    </row>
    <row r="27" spans="2:16">
      <c r="B27" s="9" t="str">
        <f t="shared" si="0"/>
        <v/>
      </c>
      <c r="C27" s="157">
        <f>IF(D11="","-",+C26+1)</f>
        <v>2025</v>
      </c>
      <c r="D27" s="432">
        <f>IF(F26+SUM(E$17:E26)=D$10,F26,D$10-SUM(E$17:E26))</f>
        <v>1344416.9441737006</v>
      </c>
      <c r="E27" s="164">
        <f t="shared" si="2"/>
        <v>40286.261904761908</v>
      </c>
      <c r="F27" s="203">
        <f t="shared" si="3"/>
        <v>1304130.6822689387</v>
      </c>
      <c r="G27" s="164">
        <f t="shared" si="4"/>
        <v>183314.15966942353</v>
      </c>
      <c r="H27" s="147">
        <f t="shared" si="5"/>
        <v>183314.15966942353</v>
      </c>
      <c r="I27" s="160">
        <f t="shared" si="1"/>
        <v>0</v>
      </c>
      <c r="J27" s="160"/>
      <c r="K27" s="335"/>
      <c r="L27" s="162">
        <f t="shared" si="6"/>
        <v>0</v>
      </c>
      <c r="M27" s="335"/>
      <c r="N27" s="162">
        <f t="shared" si="7"/>
        <v>0</v>
      </c>
      <c r="O27" s="162">
        <f t="shared" si="8"/>
        <v>0</v>
      </c>
      <c r="P27" s="4"/>
    </row>
    <row r="28" spans="2:16">
      <c r="B28" s="9" t="str">
        <f t="shared" si="0"/>
        <v/>
      </c>
      <c r="C28" s="157">
        <f>IF(D11="","-",+C27+1)</f>
        <v>2026</v>
      </c>
      <c r="D28" s="432">
        <f>IF(F27+SUM(E$17:E27)=D$10,F27,D$10-SUM(E$17:E27))</f>
        <v>1304130.6822689387</v>
      </c>
      <c r="E28" s="164">
        <f t="shared" si="2"/>
        <v>40286.261904761908</v>
      </c>
      <c r="F28" s="203">
        <f t="shared" si="3"/>
        <v>1263844.4203641769</v>
      </c>
      <c r="G28" s="164">
        <f t="shared" si="4"/>
        <v>178963.05093986378</v>
      </c>
      <c r="H28" s="147">
        <f t="shared" si="5"/>
        <v>178963.05093986378</v>
      </c>
      <c r="I28" s="160">
        <f t="shared" si="1"/>
        <v>0</v>
      </c>
      <c r="J28" s="160"/>
      <c r="K28" s="335"/>
      <c r="L28" s="162">
        <f t="shared" si="6"/>
        <v>0</v>
      </c>
      <c r="M28" s="335"/>
      <c r="N28" s="162">
        <f t="shared" si="7"/>
        <v>0</v>
      </c>
      <c r="O28" s="162">
        <f t="shared" si="8"/>
        <v>0</v>
      </c>
      <c r="P28" s="4"/>
    </row>
    <row r="29" spans="2:16">
      <c r="B29" s="9" t="str">
        <f t="shared" si="0"/>
        <v/>
      </c>
      <c r="C29" s="157">
        <f>IF(D11="","-",+C28+1)</f>
        <v>2027</v>
      </c>
      <c r="D29" s="432">
        <f>IF(F28+SUM(E$17:E28)=D$10,F28,D$10-SUM(E$17:E28))</f>
        <v>1263844.4203641769</v>
      </c>
      <c r="E29" s="164">
        <f t="shared" si="2"/>
        <v>40286.261904761908</v>
      </c>
      <c r="F29" s="203">
        <f t="shared" si="3"/>
        <v>1223558.158459415</v>
      </c>
      <c r="G29" s="164">
        <f t="shared" si="4"/>
        <v>174611.94221030403</v>
      </c>
      <c r="H29" s="147">
        <f t="shared" si="5"/>
        <v>174611.94221030403</v>
      </c>
      <c r="I29" s="160">
        <f t="shared" si="1"/>
        <v>0</v>
      </c>
      <c r="J29" s="160"/>
      <c r="K29" s="335"/>
      <c r="L29" s="162">
        <f t="shared" si="6"/>
        <v>0</v>
      </c>
      <c r="M29" s="335"/>
      <c r="N29" s="162">
        <f t="shared" si="7"/>
        <v>0</v>
      </c>
      <c r="O29" s="162">
        <f t="shared" si="8"/>
        <v>0</v>
      </c>
      <c r="P29" s="4"/>
    </row>
    <row r="30" spans="2:16">
      <c r="B30" s="9" t="str">
        <f t="shared" si="0"/>
        <v/>
      </c>
      <c r="C30" s="157">
        <f>IF(D11="","-",+C29+1)</f>
        <v>2028</v>
      </c>
      <c r="D30" s="432">
        <f>IF(F29+SUM(E$17:E29)=D$10,F29,D$10-SUM(E$17:E29))</f>
        <v>1223558.158459415</v>
      </c>
      <c r="E30" s="164">
        <f t="shared" si="2"/>
        <v>40286.261904761908</v>
      </c>
      <c r="F30" s="203">
        <f t="shared" si="3"/>
        <v>1183271.8965546531</v>
      </c>
      <c r="G30" s="164">
        <f t="shared" si="4"/>
        <v>170260.8334807443</v>
      </c>
      <c r="H30" s="147">
        <f t="shared" si="5"/>
        <v>170260.8334807443</v>
      </c>
      <c r="I30" s="160">
        <f t="shared" si="1"/>
        <v>0</v>
      </c>
      <c r="J30" s="160"/>
      <c r="K30" s="335"/>
      <c r="L30" s="162">
        <f t="shared" si="6"/>
        <v>0</v>
      </c>
      <c r="M30" s="335"/>
      <c r="N30" s="162">
        <f t="shared" si="7"/>
        <v>0</v>
      </c>
      <c r="O30" s="162">
        <f t="shared" si="8"/>
        <v>0</v>
      </c>
      <c r="P30" s="4"/>
    </row>
    <row r="31" spans="2:16">
      <c r="B31" s="9" t="str">
        <f t="shared" si="0"/>
        <v/>
      </c>
      <c r="C31" s="157">
        <f>IF(D11="","-",+C30+1)</f>
        <v>2029</v>
      </c>
      <c r="D31" s="432">
        <f>IF(F30+SUM(E$17:E30)=D$10,F30,D$10-SUM(E$17:E30))</f>
        <v>1183271.8965546531</v>
      </c>
      <c r="E31" s="164">
        <f t="shared" si="2"/>
        <v>40286.261904761908</v>
      </c>
      <c r="F31" s="203">
        <f t="shared" si="3"/>
        <v>1142985.6346498912</v>
      </c>
      <c r="G31" s="164">
        <f t="shared" si="4"/>
        <v>165909.72475118452</v>
      </c>
      <c r="H31" s="147">
        <f t="shared" si="5"/>
        <v>165909.72475118452</v>
      </c>
      <c r="I31" s="160">
        <f t="shared" si="1"/>
        <v>0</v>
      </c>
      <c r="J31" s="160"/>
      <c r="K31" s="335"/>
      <c r="L31" s="162">
        <f t="shared" si="6"/>
        <v>0</v>
      </c>
      <c r="M31" s="335"/>
      <c r="N31" s="162">
        <f t="shared" si="7"/>
        <v>0</v>
      </c>
      <c r="O31" s="162">
        <f t="shared" si="8"/>
        <v>0</v>
      </c>
      <c r="P31" s="4"/>
    </row>
    <row r="32" spans="2:16">
      <c r="B32" s="9" t="str">
        <f t="shared" si="0"/>
        <v/>
      </c>
      <c r="C32" s="157">
        <f>IF(D11="","-",+C31+1)</f>
        <v>2030</v>
      </c>
      <c r="D32" s="432">
        <f>IF(F31+SUM(E$17:E31)=D$10,F31,D$10-SUM(E$17:E31))</f>
        <v>1142985.6346498912</v>
      </c>
      <c r="E32" s="164">
        <f t="shared" si="2"/>
        <v>40286.261904761908</v>
      </c>
      <c r="F32" s="203">
        <f t="shared" si="3"/>
        <v>1102699.3727451293</v>
      </c>
      <c r="G32" s="164">
        <f t="shared" si="4"/>
        <v>161558.6160216248</v>
      </c>
      <c r="H32" s="147">
        <f t="shared" si="5"/>
        <v>161558.6160216248</v>
      </c>
      <c r="I32" s="160">
        <f t="shared" si="1"/>
        <v>0</v>
      </c>
      <c r="J32" s="160"/>
      <c r="K32" s="335"/>
      <c r="L32" s="162">
        <f t="shared" si="6"/>
        <v>0</v>
      </c>
      <c r="M32" s="335"/>
      <c r="N32" s="162">
        <f t="shared" si="7"/>
        <v>0</v>
      </c>
      <c r="O32" s="162">
        <f t="shared" si="8"/>
        <v>0</v>
      </c>
      <c r="P32" s="4"/>
    </row>
    <row r="33" spans="2:16">
      <c r="B33" s="9" t="str">
        <f t="shared" si="0"/>
        <v/>
      </c>
      <c r="C33" s="157">
        <f>IF(D11="","-",+C32+1)</f>
        <v>2031</v>
      </c>
      <c r="D33" s="432">
        <f>IF(F32+SUM(E$17:E32)=D$10,F32,D$10-SUM(E$17:E32))</f>
        <v>1102699.3727451293</v>
      </c>
      <c r="E33" s="164">
        <f t="shared" si="2"/>
        <v>40286.261904761908</v>
      </c>
      <c r="F33" s="203">
        <f t="shared" si="3"/>
        <v>1062413.1108403674</v>
      </c>
      <c r="G33" s="164">
        <f t="shared" si="4"/>
        <v>157207.50729206501</v>
      </c>
      <c r="H33" s="147">
        <f t="shared" si="5"/>
        <v>157207.50729206501</v>
      </c>
      <c r="I33" s="160">
        <f t="shared" si="1"/>
        <v>0</v>
      </c>
      <c r="J33" s="160"/>
      <c r="K33" s="335"/>
      <c r="L33" s="162">
        <f t="shared" si="6"/>
        <v>0</v>
      </c>
      <c r="M33" s="335"/>
      <c r="N33" s="162">
        <f t="shared" si="7"/>
        <v>0</v>
      </c>
      <c r="O33" s="162">
        <f t="shared" si="8"/>
        <v>0</v>
      </c>
      <c r="P33" s="4"/>
    </row>
    <row r="34" spans="2:16">
      <c r="B34" s="9" t="str">
        <f t="shared" si="0"/>
        <v/>
      </c>
      <c r="C34" s="157">
        <f>IF(D11="","-",+C33+1)</f>
        <v>2032</v>
      </c>
      <c r="D34" s="432">
        <f>IF(F33+SUM(E$17:E33)=D$10,F33,D$10-SUM(E$17:E33))</f>
        <v>1062413.1108403674</v>
      </c>
      <c r="E34" s="164">
        <f t="shared" si="2"/>
        <v>40286.261904761908</v>
      </c>
      <c r="F34" s="203">
        <f t="shared" si="3"/>
        <v>1022126.8489356055</v>
      </c>
      <c r="G34" s="164">
        <f t="shared" si="4"/>
        <v>152856.39856250526</v>
      </c>
      <c r="H34" s="147">
        <f t="shared" si="5"/>
        <v>152856.39856250526</v>
      </c>
      <c r="I34" s="160">
        <f t="shared" si="1"/>
        <v>0</v>
      </c>
      <c r="J34" s="160"/>
      <c r="K34" s="335"/>
      <c r="L34" s="162">
        <f t="shared" si="6"/>
        <v>0</v>
      </c>
      <c r="M34" s="335"/>
      <c r="N34" s="162">
        <f t="shared" si="7"/>
        <v>0</v>
      </c>
      <c r="O34" s="162">
        <f t="shared" si="8"/>
        <v>0</v>
      </c>
      <c r="P34" s="4"/>
    </row>
    <row r="35" spans="2:16">
      <c r="B35" s="9" t="str">
        <f t="shared" si="0"/>
        <v/>
      </c>
      <c r="C35" s="157">
        <f>IF(D11="","-",+C34+1)</f>
        <v>2033</v>
      </c>
      <c r="D35" s="432">
        <f>IF(F34+SUM(E$17:E34)=D$10,F34,D$10-SUM(E$17:E34))</f>
        <v>1022126.8489356055</v>
      </c>
      <c r="E35" s="164">
        <f t="shared" si="2"/>
        <v>40286.261904761908</v>
      </c>
      <c r="F35" s="203">
        <f t="shared" si="3"/>
        <v>981840.5870308436</v>
      </c>
      <c r="G35" s="164">
        <f t="shared" si="4"/>
        <v>148505.28983294551</v>
      </c>
      <c r="H35" s="147">
        <f t="shared" si="5"/>
        <v>148505.28983294551</v>
      </c>
      <c r="I35" s="160">
        <f t="shared" si="1"/>
        <v>0</v>
      </c>
      <c r="J35" s="160"/>
      <c r="K35" s="335"/>
      <c r="L35" s="162">
        <f t="shared" si="6"/>
        <v>0</v>
      </c>
      <c r="M35" s="335"/>
      <c r="N35" s="162">
        <f t="shared" si="7"/>
        <v>0</v>
      </c>
      <c r="O35" s="162">
        <f t="shared" si="8"/>
        <v>0</v>
      </c>
      <c r="P35" s="4"/>
    </row>
    <row r="36" spans="2:16">
      <c r="B36" s="9" t="str">
        <f t="shared" si="0"/>
        <v/>
      </c>
      <c r="C36" s="157">
        <f>IF(D11="","-",+C35+1)</f>
        <v>2034</v>
      </c>
      <c r="D36" s="432">
        <f>IF(F35+SUM(E$17:E35)=D$10,F35,D$10-SUM(E$17:E35))</f>
        <v>981840.5870308436</v>
      </c>
      <c r="E36" s="164">
        <f t="shared" si="2"/>
        <v>40286.261904761908</v>
      </c>
      <c r="F36" s="203">
        <f t="shared" si="3"/>
        <v>941554.32512608171</v>
      </c>
      <c r="G36" s="164">
        <f t="shared" si="4"/>
        <v>144154.18110338575</v>
      </c>
      <c r="H36" s="147">
        <f t="shared" si="5"/>
        <v>144154.18110338575</v>
      </c>
      <c r="I36" s="160">
        <f t="shared" si="1"/>
        <v>0</v>
      </c>
      <c r="J36" s="160"/>
      <c r="K36" s="335"/>
      <c r="L36" s="162">
        <f t="shared" si="6"/>
        <v>0</v>
      </c>
      <c r="M36" s="335"/>
      <c r="N36" s="162">
        <f t="shared" si="7"/>
        <v>0</v>
      </c>
      <c r="O36" s="162">
        <f t="shared" si="8"/>
        <v>0</v>
      </c>
      <c r="P36" s="4"/>
    </row>
    <row r="37" spans="2:16">
      <c r="B37" s="9" t="str">
        <f t="shared" si="0"/>
        <v/>
      </c>
      <c r="C37" s="157">
        <f>IF(D11="","-",+C36+1)</f>
        <v>2035</v>
      </c>
      <c r="D37" s="432">
        <f>IF(F36+SUM(E$17:E36)=D$10,F36,D$10-SUM(E$17:E36))</f>
        <v>941554.32512608171</v>
      </c>
      <c r="E37" s="164">
        <f t="shared" si="2"/>
        <v>40286.261904761908</v>
      </c>
      <c r="F37" s="203">
        <f t="shared" si="3"/>
        <v>901268.06322131981</v>
      </c>
      <c r="G37" s="164">
        <f t="shared" si="4"/>
        <v>139803.072373826</v>
      </c>
      <c r="H37" s="147">
        <f t="shared" si="5"/>
        <v>139803.072373826</v>
      </c>
      <c r="I37" s="160">
        <f t="shared" si="1"/>
        <v>0</v>
      </c>
      <c r="J37" s="160"/>
      <c r="K37" s="335"/>
      <c r="L37" s="162">
        <f t="shared" si="6"/>
        <v>0</v>
      </c>
      <c r="M37" s="335"/>
      <c r="N37" s="162">
        <f t="shared" si="7"/>
        <v>0</v>
      </c>
      <c r="O37" s="162">
        <f t="shared" si="8"/>
        <v>0</v>
      </c>
      <c r="P37" s="4"/>
    </row>
    <row r="38" spans="2:16">
      <c r="B38" s="9" t="str">
        <f t="shared" si="0"/>
        <v/>
      </c>
      <c r="C38" s="157">
        <f>IF(D11="","-",+C37+1)</f>
        <v>2036</v>
      </c>
      <c r="D38" s="432">
        <f>IF(F37+SUM(E$17:E37)=D$10,F37,D$10-SUM(E$17:E37))</f>
        <v>901268.06322131981</v>
      </c>
      <c r="E38" s="164">
        <f t="shared" si="2"/>
        <v>40286.261904761908</v>
      </c>
      <c r="F38" s="203">
        <f t="shared" si="3"/>
        <v>860981.80131655792</v>
      </c>
      <c r="G38" s="164">
        <f t="shared" si="4"/>
        <v>135451.96364426624</v>
      </c>
      <c r="H38" s="147">
        <f t="shared" si="5"/>
        <v>135451.96364426624</v>
      </c>
      <c r="I38" s="160">
        <f t="shared" si="1"/>
        <v>0</v>
      </c>
      <c r="J38" s="160"/>
      <c r="K38" s="335"/>
      <c r="L38" s="162">
        <f t="shared" si="6"/>
        <v>0</v>
      </c>
      <c r="M38" s="335"/>
      <c r="N38" s="162">
        <f t="shared" si="7"/>
        <v>0</v>
      </c>
      <c r="O38" s="162">
        <f t="shared" si="8"/>
        <v>0</v>
      </c>
      <c r="P38" s="4"/>
    </row>
    <row r="39" spans="2:16">
      <c r="B39" s="9" t="str">
        <f t="shared" si="0"/>
        <v/>
      </c>
      <c r="C39" s="157">
        <f>IF(D11="","-",+C38+1)</f>
        <v>2037</v>
      </c>
      <c r="D39" s="432">
        <f>IF(F38+SUM(E$17:E38)=D$10,F38,D$10-SUM(E$17:E38))</f>
        <v>860981.80131655792</v>
      </c>
      <c r="E39" s="164">
        <f t="shared" si="2"/>
        <v>40286.261904761908</v>
      </c>
      <c r="F39" s="203">
        <f t="shared" si="3"/>
        <v>820695.53941179602</v>
      </c>
      <c r="G39" s="164">
        <f t="shared" si="4"/>
        <v>131100.85491470649</v>
      </c>
      <c r="H39" s="147">
        <f t="shared" si="5"/>
        <v>131100.85491470649</v>
      </c>
      <c r="I39" s="160">
        <f t="shared" si="1"/>
        <v>0</v>
      </c>
      <c r="J39" s="160"/>
      <c r="K39" s="335"/>
      <c r="L39" s="162">
        <f t="shared" si="6"/>
        <v>0</v>
      </c>
      <c r="M39" s="335"/>
      <c r="N39" s="162">
        <f t="shared" si="7"/>
        <v>0</v>
      </c>
      <c r="O39" s="162">
        <f t="shared" si="8"/>
        <v>0</v>
      </c>
      <c r="P39" s="4"/>
    </row>
    <row r="40" spans="2:16">
      <c r="B40" s="9" t="str">
        <f t="shared" si="0"/>
        <v/>
      </c>
      <c r="C40" s="157">
        <f>IF(D11="","-",+C39+1)</f>
        <v>2038</v>
      </c>
      <c r="D40" s="432">
        <f>IF(F39+SUM(E$17:E39)=D$10,F39,D$10-SUM(E$17:E39))</f>
        <v>820695.53941179602</v>
      </c>
      <c r="E40" s="164">
        <f t="shared" si="2"/>
        <v>40286.261904761908</v>
      </c>
      <c r="F40" s="203">
        <f t="shared" si="3"/>
        <v>780409.27750703413</v>
      </c>
      <c r="G40" s="164">
        <f t="shared" si="4"/>
        <v>126749.74618514675</v>
      </c>
      <c r="H40" s="147">
        <f t="shared" si="5"/>
        <v>126749.74618514675</v>
      </c>
      <c r="I40" s="160">
        <f t="shared" si="1"/>
        <v>0</v>
      </c>
      <c r="J40" s="160"/>
      <c r="K40" s="335"/>
      <c r="L40" s="162">
        <f t="shared" si="6"/>
        <v>0</v>
      </c>
      <c r="M40" s="335"/>
      <c r="N40" s="162">
        <f t="shared" si="7"/>
        <v>0</v>
      </c>
      <c r="O40" s="162">
        <f t="shared" si="8"/>
        <v>0</v>
      </c>
      <c r="P40" s="4"/>
    </row>
    <row r="41" spans="2:16">
      <c r="B41" s="9" t="str">
        <f t="shared" si="0"/>
        <v/>
      </c>
      <c r="C41" s="157">
        <f>IF(D11="","-",+C40+1)</f>
        <v>2039</v>
      </c>
      <c r="D41" s="432">
        <f>IF(F40+SUM(E$17:E40)=D$10,F40,D$10-SUM(E$17:E40))</f>
        <v>780409.27750703413</v>
      </c>
      <c r="E41" s="164">
        <f t="shared" si="2"/>
        <v>40286.261904761908</v>
      </c>
      <c r="F41" s="203">
        <f t="shared" si="3"/>
        <v>740123.01560227224</v>
      </c>
      <c r="G41" s="164">
        <f t="shared" si="4"/>
        <v>122398.637455587</v>
      </c>
      <c r="H41" s="147">
        <f t="shared" si="5"/>
        <v>122398.637455587</v>
      </c>
      <c r="I41" s="160">
        <f t="shared" si="1"/>
        <v>0</v>
      </c>
      <c r="J41" s="160"/>
      <c r="K41" s="335"/>
      <c r="L41" s="162">
        <f t="shared" si="6"/>
        <v>0</v>
      </c>
      <c r="M41" s="335"/>
      <c r="N41" s="162">
        <f t="shared" si="7"/>
        <v>0</v>
      </c>
      <c r="O41" s="162">
        <f t="shared" si="8"/>
        <v>0</v>
      </c>
      <c r="P41" s="4"/>
    </row>
    <row r="42" spans="2:16">
      <c r="B42" s="9" t="str">
        <f t="shared" si="0"/>
        <v/>
      </c>
      <c r="C42" s="157">
        <f>IF(D11="","-",+C41+1)</f>
        <v>2040</v>
      </c>
      <c r="D42" s="432">
        <f>IF(F41+SUM(E$17:E41)=D$10,F41,D$10-SUM(E$17:E41))</f>
        <v>740123.01560227224</v>
      </c>
      <c r="E42" s="164">
        <f t="shared" si="2"/>
        <v>40286.261904761908</v>
      </c>
      <c r="F42" s="203">
        <f t="shared" si="3"/>
        <v>699836.75369751034</v>
      </c>
      <c r="G42" s="164">
        <f t="shared" si="4"/>
        <v>118047.52872602725</v>
      </c>
      <c r="H42" s="147">
        <f t="shared" si="5"/>
        <v>118047.52872602725</v>
      </c>
      <c r="I42" s="160">
        <f t="shared" si="1"/>
        <v>0</v>
      </c>
      <c r="J42" s="160"/>
      <c r="K42" s="335"/>
      <c r="L42" s="162">
        <f t="shared" si="6"/>
        <v>0</v>
      </c>
      <c r="M42" s="335"/>
      <c r="N42" s="162">
        <f t="shared" si="7"/>
        <v>0</v>
      </c>
      <c r="O42" s="162">
        <f t="shared" si="8"/>
        <v>0</v>
      </c>
      <c r="P42" s="4"/>
    </row>
    <row r="43" spans="2:16">
      <c r="B43" s="9" t="str">
        <f t="shared" si="0"/>
        <v/>
      </c>
      <c r="C43" s="157">
        <f>IF(D11="","-",+C42+1)</f>
        <v>2041</v>
      </c>
      <c r="D43" s="432">
        <f>IF(F42+SUM(E$17:E42)=D$10,F42,D$10-SUM(E$17:E42))</f>
        <v>699836.75369751034</v>
      </c>
      <c r="E43" s="164">
        <f t="shared" si="2"/>
        <v>40286.261904761908</v>
      </c>
      <c r="F43" s="203">
        <f t="shared" si="3"/>
        <v>659550.49179274845</v>
      </c>
      <c r="G43" s="164">
        <f t="shared" si="4"/>
        <v>113696.41999646749</v>
      </c>
      <c r="H43" s="147">
        <f t="shared" si="5"/>
        <v>113696.41999646749</v>
      </c>
      <c r="I43" s="160">
        <f t="shared" si="1"/>
        <v>0</v>
      </c>
      <c r="J43" s="160"/>
      <c r="K43" s="335"/>
      <c r="L43" s="162">
        <f t="shared" si="6"/>
        <v>0</v>
      </c>
      <c r="M43" s="335"/>
      <c r="N43" s="162">
        <f t="shared" si="7"/>
        <v>0</v>
      </c>
      <c r="O43" s="162">
        <f t="shared" si="8"/>
        <v>0</v>
      </c>
      <c r="P43" s="4"/>
    </row>
    <row r="44" spans="2:16">
      <c r="B44" s="9" t="str">
        <f t="shared" si="0"/>
        <v/>
      </c>
      <c r="C44" s="157">
        <f>IF(D11="","-",+C43+1)</f>
        <v>2042</v>
      </c>
      <c r="D44" s="432">
        <f>IF(F43+SUM(E$17:E43)=D$10,F43,D$10-SUM(E$17:E43))</f>
        <v>659550.49179274845</v>
      </c>
      <c r="E44" s="164">
        <f t="shared" si="2"/>
        <v>40286.261904761908</v>
      </c>
      <c r="F44" s="203">
        <f t="shared" si="3"/>
        <v>619264.22988798656</v>
      </c>
      <c r="G44" s="164">
        <f t="shared" si="4"/>
        <v>109345.31126690774</v>
      </c>
      <c r="H44" s="147">
        <f t="shared" si="5"/>
        <v>109345.31126690774</v>
      </c>
      <c r="I44" s="160">
        <f t="shared" si="1"/>
        <v>0</v>
      </c>
      <c r="J44" s="160"/>
      <c r="K44" s="335"/>
      <c r="L44" s="162">
        <f t="shared" si="6"/>
        <v>0</v>
      </c>
      <c r="M44" s="335"/>
      <c r="N44" s="162">
        <f t="shared" si="7"/>
        <v>0</v>
      </c>
      <c r="O44" s="162">
        <f t="shared" si="8"/>
        <v>0</v>
      </c>
      <c r="P44" s="4"/>
    </row>
    <row r="45" spans="2:16">
      <c r="B45" s="9" t="str">
        <f t="shared" si="0"/>
        <v/>
      </c>
      <c r="C45" s="157">
        <f>IF(D11="","-",+C44+1)</f>
        <v>2043</v>
      </c>
      <c r="D45" s="432">
        <f>IF(F44+SUM(E$17:E44)=D$10,F44,D$10-SUM(E$17:E44))</f>
        <v>619264.22988798656</v>
      </c>
      <c r="E45" s="164">
        <f t="shared" si="2"/>
        <v>40286.261904761908</v>
      </c>
      <c r="F45" s="203">
        <f t="shared" si="3"/>
        <v>578977.96798322466</v>
      </c>
      <c r="G45" s="164">
        <f t="shared" si="4"/>
        <v>104994.20253734797</v>
      </c>
      <c r="H45" s="147">
        <f t="shared" si="5"/>
        <v>104994.20253734797</v>
      </c>
      <c r="I45" s="160">
        <f t="shared" si="1"/>
        <v>0</v>
      </c>
      <c r="J45" s="160"/>
      <c r="K45" s="335"/>
      <c r="L45" s="162">
        <f t="shared" si="6"/>
        <v>0</v>
      </c>
      <c r="M45" s="335"/>
      <c r="N45" s="162">
        <f t="shared" si="7"/>
        <v>0</v>
      </c>
      <c r="O45" s="162">
        <f t="shared" si="8"/>
        <v>0</v>
      </c>
      <c r="P45" s="4"/>
    </row>
    <row r="46" spans="2:16">
      <c r="B46" s="9" t="str">
        <f t="shared" si="0"/>
        <v/>
      </c>
      <c r="C46" s="157">
        <f>IF(D11="","-",+C45+1)</f>
        <v>2044</v>
      </c>
      <c r="D46" s="432">
        <f>IF(F45+SUM(E$17:E45)=D$10,F45,D$10-SUM(E$17:E45))</f>
        <v>578977.96798322466</v>
      </c>
      <c r="E46" s="164">
        <f t="shared" si="2"/>
        <v>40286.261904761908</v>
      </c>
      <c r="F46" s="203">
        <f t="shared" si="3"/>
        <v>538691.70607846277</v>
      </c>
      <c r="G46" s="164">
        <f t="shared" si="4"/>
        <v>100643.09380778822</v>
      </c>
      <c r="H46" s="147">
        <f t="shared" si="5"/>
        <v>100643.09380778822</v>
      </c>
      <c r="I46" s="160">
        <f t="shared" si="1"/>
        <v>0</v>
      </c>
      <c r="J46" s="160"/>
      <c r="K46" s="335"/>
      <c r="L46" s="162">
        <f t="shared" si="6"/>
        <v>0</v>
      </c>
      <c r="M46" s="335"/>
      <c r="N46" s="162">
        <f t="shared" si="7"/>
        <v>0</v>
      </c>
      <c r="O46" s="162">
        <f t="shared" si="8"/>
        <v>0</v>
      </c>
      <c r="P46" s="4"/>
    </row>
    <row r="47" spans="2:16">
      <c r="B47" s="9" t="str">
        <f t="shared" si="0"/>
        <v/>
      </c>
      <c r="C47" s="157">
        <f>IF(D11="","-",+C46+1)</f>
        <v>2045</v>
      </c>
      <c r="D47" s="432">
        <f>IF(F46+SUM(E$17:E46)=D$10,F46,D$10-SUM(E$17:E46))</f>
        <v>538691.70607846277</v>
      </c>
      <c r="E47" s="164">
        <f t="shared" si="2"/>
        <v>40286.261904761908</v>
      </c>
      <c r="F47" s="203">
        <f t="shared" si="3"/>
        <v>498405.44417370087</v>
      </c>
      <c r="G47" s="164">
        <f t="shared" si="4"/>
        <v>96291.985078228463</v>
      </c>
      <c r="H47" s="147">
        <f t="shared" si="5"/>
        <v>96291.985078228463</v>
      </c>
      <c r="I47" s="160">
        <f t="shared" si="1"/>
        <v>0</v>
      </c>
      <c r="J47" s="160"/>
      <c r="K47" s="335"/>
      <c r="L47" s="162">
        <f t="shared" si="6"/>
        <v>0</v>
      </c>
      <c r="M47" s="335"/>
      <c r="N47" s="162">
        <f t="shared" si="7"/>
        <v>0</v>
      </c>
      <c r="O47" s="162">
        <f t="shared" si="8"/>
        <v>0</v>
      </c>
      <c r="P47" s="4"/>
    </row>
    <row r="48" spans="2:16">
      <c r="B48" s="9" t="str">
        <f t="shared" si="0"/>
        <v/>
      </c>
      <c r="C48" s="157">
        <f>IF(D11="","-",+C47+1)</f>
        <v>2046</v>
      </c>
      <c r="D48" s="432">
        <f>IF(F47+SUM(E$17:E47)=D$10,F47,D$10-SUM(E$17:E47))</f>
        <v>498405.44417370087</v>
      </c>
      <c r="E48" s="164">
        <f t="shared" si="2"/>
        <v>40286.261904761908</v>
      </c>
      <c r="F48" s="203">
        <f t="shared" si="3"/>
        <v>458119.18226893898</v>
      </c>
      <c r="G48" s="164">
        <f t="shared" si="4"/>
        <v>91940.876348668709</v>
      </c>
      <c r="H48" s="147">
        <f t="shared" si="5"/>
        <v>91940.876348668709</v>
      </c>
      <c r="I48" s="160">
        <f t="shared" si="1"/>
        <v>0</v>
      </c>
      <c r="J48" s="160"/>
      <c r="K48" s="335"/>
      <c r="L48" s="162">
        <f t="shared" si="6"/>
        <v>0</v>
      </c>
      <c r="M48" s="335"/>
      <c r="N48" s="162">
        <f t="shared" si="7"/>
        <v>0</v>
      </c>
      <c r="O48" s="162">
        <f t="shared" si="8"/>
        <v>0</v>
      </c>
      <c r="P48" s="4"/>
    </row>
    <row r="49" spans="2:16">
      <c r="B49" s="9" t="str">
        <f t="shared" si="0"/>
        <v/>
      </c>
      <c r="C49" s="157">
        <f>IF(D11="","-",+C48+1)</f>
        <v>2047</v>
      </c>
      <c r="D49" s="432">
        <f>IF(F48+SUM(E$17:E48)=D$10,F48,D$10-SUM(E$17:E48))</f>
        <v>458119.18226893898</v>
      </c>
      <c r="E49" s="164">
        <f t="shared" si="2"/>
        <v>40286.261904761908</v>
      </c>
      <c r="F49" s="203">
        <f t="shared" si="3"/>
        <v>417832.92036417709</v>
      </c>
      <c r="G49" s="164">
        <f t="shared" si="4"/>
        <v>87589.767619108956</v>
      </c>
      <c r="H49" s="147">
        <f t="shared" si="5"/>
        <v>87589.767619108956</v>
      </c>
      <c r="I49" s="160">
        <f t="shared" si="1"/>
        <v>0</v>
      </c>
      <c r="J49" s="160"/>
      <c r="K49" s="335"/>
      <c r="L49" s="162">
        <f t="shared" si="6"/>
        <v>0</v>
      </c>
      <c r="M49" s="335"/>
      <c r="N49" s="162">
        <f t="shared" si="7"/>
        <v>0</v>
      </c>
      <c r="O49" s="162">
        <f t="shared" si="8"/>
        <v>0</v>
      </c>
      <c r="P49" s="4"/>
    </row>
    <row r="50" spans="2:16">
      <c r="B50" s="9" t="str">
        <f t="shared" si="0"/>
        <v/>
      </c>
      <c r="C50" s="157">
        <f>IF(D11="","-",+C49+1)</f>
        <v>2048</v>
      </c>
      <c r="D50" s="432">
        <f>IF(F49+SUM(E$17:E49)=D$10,F49,D$10-SUM(E$17:E49))</f>
        <v>417832.92036417709</v>
      </c>
      <c r="E50" s="164">
        <f t="shared" si="2"/>
        <v>40286.261904761908</v>
      </c>
      <c r="F50" s="203">
        <f t="shared" si="3"/>
        <v>377546.65845941519</v>
      </c>
      <c r="G50" s="164">
        <f t="shared" si="4"/>
        <v>83238.658889549202</v>
      </c>
      <c r="H50" s="147">
        <f t="shared" si="5"/>
        <v>83238.658889549202</v>
      </c>
      <c r="I50" s="160">
        <f t="shared" si="1"/>
        <v>0</v>
      </c>
      <c r="J50" s="160"/>
      <c r="K50" s="335"/>
      <c r="L50" s="162">
        <f t="shared" si="6"/>
        <v>0</v>
      </c>
      <c r="M50" s="335"/>
      <c r="N50" s="162">
        <f t="shared" si="7"/>
        <v>0</v>
      </c>
      <c r="O50" s="162">
        <f t="shared" si="8"/>
        <v>0</v>
      </c>
      <c r="P50" s="4"/>
    </row>
    <row r="51" spans="2:16">
      <c r="B51" s="9" t="str">
        <f t="shared" si="0"/>
        <v/>
      </c>
      <c r="C51" s="157">
        <f>IF(D11="","-",+C50+1)</f>
        <v>2049</v>
      </c>
      <c r="D51" s="432">
        <f>IF(F50+SUM(E$17:E50)=D$10,F50,D$10-SUM(E$17:E50))</f>
        <v>377546.65845941519</v>
      </c>
      <c r="E51" s="164">
        <f t="shared" si="2"/>
        <v>40286.261904761908</v>
      </c>
      <c r="F51" s="203">
        <f t="shared" si="3"/>
        <v>337260.3965546533</v>
      </c>
      <c r="G51" s="164">
        <f t="shared" si="4"/>
        <v>78887.550159989449</v>
      </c>
      <c r="H51" s="147">
        <f t="shared" si="5"/>
        <v>78887.550159989449</v>
      </c>
      <c r="I51" s="160">
        <f t="shared" si="1"/>
        <v>0</v>
      </c>
      <c r="J51" s="160"/>
      <c r="K51" s="335"/>
      <c r="L51" s="162">
        <f t="shared" si="6"/>
        <v>0</v>
      </c>
      <c r="M51" s="335"/>
      <c r="N51" s="162">
        <f t="shared" si="7"/>
        <v>0</v>
      </c>
      <c r="O51" s="162">
        <f t="shared" si="8"/>
        <v>0</v>
      </c>
      <c r="P51" s="4"/>
    </row>
    <row r="52" spans="2:16">
      <c r="B52" s="9" t="str">
        <f t="shared" si="0"/>
        <v/>
      </c>
      <c r="C52" s="157">
        <f>IF(D11="","-",+C51+1)</f>
        <v>2050</v>
      </c>
      <c r="D52" s="432">
        <f>IF(F51+SUM(E$17:E51)=D$10,F51,D$10-SUM(E$17:E51))</f>
        <v>337260.3965546533</v>
      </c>
      <c r="E52" s="164">
        <f t="shared" si="2"/>
        <v>40286.261904761908</v>
      </c>
      <c r="F52" s="203">
        <f t="shared" si="3"/>
        <v>296974.13464989141</v>
      </c>
      <c r="G52" s="164">
        <f t="shared" si="4"/>
        <v>74536.441430429695</v>
      </c>
      <c r="H52" s="147">
        <f t="shared" si="5"/>
        <v>74536.441430429695</v>
      </c>
      <c r="I52" s="160">
        <f t="shared" si="1"/>
        <v>0</v>
      </c>
      <c r="J52" s="160"/>
      <c r="K52" s="335"/>
      <c r="L52" s="162">
        <f t="shared" si="6"/>
        <v>0</v>
      </c>
      <c r="M52" s="335"/>
      <c r="N52" s="162">
        <f t="shared" si="7"/>
        <v>0</v>
      </c>
      <c r="O52" s="162">
        <f t="shared" si="8"/>
        <v>0</v>
      </c>
      <c r="P52" s="4"/>
    </row>
    <row r="53" spans="2:16">
      <c r="B53" s="9" t="str">
        <f t="shared" si="0"/>
        <v/>
      </c>
      <c r="C53" s="157">
        <f>IF(D11="","-",+C52+1)</f>
        <v>2051</v>
      </c>
      <c r="D53" s="432">
        <f>IF(F52+SUM(E$17:E52)=D$10,F52,D$10-SUM(E$17:E52))</f>
        <v>296974.13464989141</v>
      </c>
      <c r="E53" s="164">
        <f t="shared" si="2"/>
        <v>40286.261904761908</v>
      </c>
      <c r="F53" s="203">
        <f t="shared" si="3"/>
        <v>256687.87274512951</v>
      </c>
      <c r="G53" s="164">
        <f t="shared" si="4"/>
        <v>70185.332700869942</v>
      </c>
      <c r="H53" s="147">
        <f t="shared" si="5"/>
        <v>70185.332700869942</v>
      </c>
      <c r="I53" s="160">
        <f t="shared" si="1"/>
        <v>0</v>
      </c>
      <c r="J53" s="160"/>
      <c r="K53" s="335"/>
      <c r="L53" s="162">
        <f t="shared" si="6"/>
        <v>0</v>
      </c>
      <c r="M53" s="335"/>
      <c r="N53" s="162">
        <f t="shared" si="7"/>
        <v>0</v>
      </c>
      <c r="O53" s="162">
        <f t="shared" si="8"/>
        <v>0</v>
      </c>
      <c r="P53" s="4"/>
    </row>
    <row r="54" spans="2:16">
      <c r="B54" s="9" t="str">
        <f t="shared" si="0"/>
        <v/>
      </c>
      <c r="C54" s="157">
        <f>IF(D11="","-",+C53+1)</f>
        <v>2052</v>
      </c>
      <c r="D54" s="432">
        <f>IF(F53+SUM(E$17:E53)=D$10,F53,D$10-SUM(E$17:E53))</f>
        <v>256687.87274512951</v>
      </c>
      <c r="E54" s="164">
        <f t="shared" si="2"/>
        <v>40286.261904761908</v>
      </c>
      <c r="F54" s="203">
        <f t="shared" si="3"/>
        <v>216401.61084036762</v>
      </c>
      <c r="G54" s="164">
        <f t="shared" si="4"/>
        <v>65834.223971310188</v>
      </c>
      <c r="H54" s="147">
        <f t="shared" si="5"/>
        <v>65834.223971310188</v>
      </c>
      <c r="I54" s="160">
        <f t="shared" si="1"/>
        <v>0</v>
      </c>
      <c r="J54" s="160"/>
      <c r="K54" s="335"/>
      <c r="L54" s="162">
        <f t="shared" si="6"/>
        <v>0</v>
      </c>
      <c r="M54" s="335"/>
      <c r="N54" s="162">
        <f t="shared" si="7"/>
        <v>0</v>
      </c>
      <c r="O54" s="162">
        <f t="shared" si="8"/>
        <v>0</v>
      </c>
      <c r="P54" s="4"/>
    </row>
    <row r="55" spans="2:16">
      <c r="B55" s="9" t="str">
        <f t="shared" si="0"/>
        <v/>
      </c>
      <c r="C55" s="157">
        <f>IF(D11="","-",+C54+1)</f>
        <v>2053</v>
      </c>
      <c r="D55" s="432">
        <f>IF(F54+SUM(E$17:E54)=D$10,F54,D$10-SUM(E$17:E54))</f>
        <v>216401.61084036762</v>
      </c>
      <c r="E55" s="164">
        <f t="shared" si="2"/>
        <v>40286.261904761908</v>
      </c>
      <c r="F55" s="203">
        <f t="shared" si="3"/>
        <v>176115.34893560573</v>
      </c>
      <c r="G55" s="164">
        <f t="shared" si="4"/>
        <v>61483.115241750442</v>
      </c>
      <c r="H55" s="147">
        <f t="shared" si="5"/>
        <v>61483.115241750442</v>
      </c>
      <c r="I55" s="160">
        <f t="shared" si="1"/>
        <v>0</v>
      </c>
      <c r="J55" s="160"/>
      <c r="K55" s="335"/>
      <c r="L55" s="162">
        <f t="shared" si="6"/>
        <v>0</v>
      </c>
      <c r="M55" s="335"/>
      <c r="N55" s="162">
        <f t="shared" si="7"/>
        <v>0</v>
      </c>
      <c r="O55" s="162">
        <f t="shared" si="8"/>
        <v>0</v>
      </c>
      <c r="P55" s="4"/>
    </row>
    <row r="56" spans="2:16">
      <c r="B56" s="9" t="str">
        <f t="shared" si="0"/>
        <v/>
      </c>
      <c r="C56" s="157">
        <f>IF(D11="","-",+C55+1)</f>
        <v>2054</v>
      </c>
      <c r="D56" s="432">
        <f>IF(F55+SUM(E$17:E55)=D$10,F55,D$10-SUM(E$17:E55))</f>
        <v>176115.34893560573</v>
      </c>
      <c r="E56" s="164">
        <f t="shared" si="2"/>
        <v>40286.261904761908</v>
      </c>
      <c r="F56" s="203">
        <f t="shared" si="3"/>
        <v>135829.08703084383</v>
      </c>
      <c r="G56" s="164">
        <f t="shared" si="4"/>
        <v>57132.006512190688</v>
      </c>
      <c r="H56" s="147">
        <f t="shared" si="5"/>
        <v>57132.006512190688</v>
      </c>
      <c r="I56" s="160">
        <f t="shared" si="1"/>
        <v>0</v>
      </c>
      <c r="J56" s="160"/>
      <c r="K56" s="335"/>
      <c r="L56" s="162">
        <f t="shared" si="6"/>
        <v>0</v>
      </c>
      <c r="M56" s="335"/>
      <c r="N56" s="162">
        <f t="shared" si="7"/>
        <v>0</v>
      </c>
      <c r="O56" s="162">
        <f t="shared" si="8"/>
        <v>0</v>
      </c>
      <c r="P56" s="4"/>
    </row>
    <row r="57" spans="2:16">
      <c r="B57" s="9" t="str">
        <f t="shared" si="0"/>
        <v/>
      </c>
      <c r="C57" s="157">
        <f>IF(D11="","-",+C56+1)</f>
        <v>2055</v>
      </c>
      <c r="D57" s="432">
        <f>IF(F56+SUM(E$17:E56)=D$10,F56,D$10-SUM(E$17:E56))</f>
        <v>135829.08703084383</v>
      </c>
      <c r="E57" s="164">
        <f t="shared" si="2"/>
        <v>40286.261904761908</v>
      </c>
      <c r="F57" s="203">
        <f t="shared" si="3"/>
        <v>95542.825126081923</v>
      </c>
      <c r="G57" s="164">
        <f t="shared" si="4"/>
        <v>52780.897782630935</v>
      </c>
      <c r="H57" s="147">
        <f t="shared" si="5"/>
        <v>52780.897782630935</v>
      </c>
      <c r="I57" s="160">
        <f t="shared" si="1"/>
        <v>0</v>
      </c>
      <c r="J57" s="160"/>
      <c r="K57" s="335"/>
      <c r="L57" s="162">
        <f t="shared" si="6"/>
        <v>0</v>
      </c>
      <c r="M57" s="335"/>
      <c r="N57" s="162">
        <f t="shared" si="7"/>
        <v>0</v>
      </c>
      <c r="O57" s="162">
        <f t="shared" si="8"/>
        <v>0</v>
      </c>
      <c r="P57" s="4"/>
    </row>
    <row r="58" spans="2:16">
      <c r="B58" s="9" t="str">
        <f t="shared" si="0"/>
        <v/>
      </c>
      <c r="C58" s="157">
        <f>IF(D11="","-",+C57+1)</f>
        <v>2056</v>
      </c>
      <c r="D58" s="432">
        <f>IF(F57+SUM(E$17:E57)=D$10,F57,D$10-SUM(E$17:E57))</f>
        <v>95542.825126081923</v>
      </c>
      <c r="E58" s="164">
        <f t="shared" si="2"/>
        <v>40286.261904761908</v>
      </c>
      <c r="F58" s="203">
        <f t="shared" si="3"/>
        <v>55256.563221320015</v>
      </c>
      <c r="G58" s="164">
        <f t="shared" si="4"/>
        <v>48429.789053071174</v>
      </c>
      <c r="H58" s="147">
        <f t="shared" si="5"/>
        <v>48429.789053071174</v>
      </c>
      <c r="I58" s="160">
        <f t="shared" si="1"/>
        <v>0</v>
      </c>
      <c r="J58" s="160"/>
      <c r="K58" s="335"/>
      <c r="L58" s="162">
        <f t="shared" si="6"/>
        <v>0</v>
      </c>
      <c r="M58" s="335"/>
      <c r="N58" s="162">
        <f t="shared" si="7"/>
        <v>0</v>
      </c>
      <c r="O58" s="162">
        <f t="shared" si="8"/>
        <v>0</v>
      </c>
      <c r="P58" s="4"/>
    </row>
    <row r="59" spans="2:16">
      <c r="B59" s="9" t="str">
        <f t="shared" si="0"/>
        <v/>
      </c>
      <c r="C59" s="157">
        <f>IF(D11="","-",+C58+1)</f>
        <v>2057</v>
      </c>
      <c r="D59" s="432">
        <f>IF(F58+SUM(E$17:E58)=D$10,F58,D$10-SUM(E$17:E58))</f>
        <v>55256.563221320015</v>
      </c>
      <c r="E59" s="164">
        <f t="shared" si="2"/>
        <v>40286.261904761908</v>
      </c>
      <c r="F59" s="203">
        <f t="shared" si="3"/>
        <v>14970.301316558107</v>
      </c>
      <c r="G59" s="164">
        <f t="shared" si="4"/>
        <v>44078.68032351142</v>
      </c>
      <c r="H59" s="147">
        <f t="shared" si="5"/>
        <v>44078.68032351142</v>
      </c>
      <c r="I59" s="160">
        <f t="shared" si="1"/>
        <v>0</v>
      </c>
      <c r="J59" s="160"/>
      <c r="K59" s="335"/>
      <c r="L59" s="162">
        <f t="shared" si="6"/>
        <v>0</v>
      </c>
      <c r="M59" s="335"/>
      <c r="N59" s="162">
        <f t="shared" si="7"/>
        <v>0</v>
      </c>
      <c r="O59" s="162">
        <f t="shared" si="8"/>
        <v>0</v>
      </c>
      <c r="P59" s="4"/>
    </row>
    <row r="60" spans="2:16">
      <c r="B60" s="9" t="str">
        <f t="shared" si="0"/>
        <v/>
      </c>
      <c r="C60" s="157">
        <f>IF(D11="","-",+C59+1)</f>
        <v>2058</v>
      </c>
      <c r="D60" s="432">
        <f>IF(F59+SUM(E$17:E59)=D$10,F59,D$10-SUM(E$17:E59))</f>
        <v>14970.301316558107</v>
      </c>
      <c r="E60" s="164">
        <f t="shared" si="2"/>
        <v>14970.301316558107</v>
      </c>
      <c r="F60" s="203">
        <f t="shared" si="3"/>
        <v>0</v>
      </c>
      <c r="G60" s="164">
        <f t="shared" si="4"/>
        <v>15778.733343542925</v>
      </c>
      <c r="H60" s="147">
        <f t="shared" si="5"/>
        <v>15778.733343542925</v>
      </c>
      <c r="I60" s="160">
        <f t="shared" si="1"/>
        <v>0</v>
      </c>
      <c r="J60" s="160"/>
      <c r="K60" s="335"/>
      <c r="L60" s="162">
        <f t="shared" si="6"/>
        <v>0</v>
      </c>
      <c r="M60" s="335"/>
      <c r="N60" s="162">
        <f t="shared" si="7"/>
        <v>0</v>
      </c>
      <c r="O60" s="162">
        <f t="shared" si="8"/>
        <v>0</v>
      </c>
      <c r="P60" s="4"/>
    </row>
    <row r="61" spans="2:16">
      <c r="B61" s="9" t="str">
        <f t="shared" si="0"/>
        <v/>
      </c>
      <c r="C61" s="157">
        <f>IF(D11="","-",+C60+1)</f>
        <v>2059</v>
      </c>
      <c r="D61" s="432">
        <f>IF(F60+SUM(E$17:E60)=D$10,F60,D$10-SUM(E$17:E60))</f>
        <v>0</v>
      </c>
      <c r="E61" s="164">
        <f t="shared" si="2"/>
        <v>0</v>
      </c>
      <c r="F61" s="203">
        <f t="shared" si="3"/>
        <v>0</v>
      </c>
      <c r="G61" s="164">
        <f t="shared" si="4"/>
        <v>0</v>
      </c>
      <c r="H61" s="147">
        <f t="shared" si="5"/>
        <v>0</v>
      </c>
      <c r="I61" s="160">
        <f t="shared" si="1"/>
        <v>0</v>
      </c>
      <c r="J61" s="160"/>
      <c r="K61" s="335"/>
      <c r="L61" s="162">
        <f t="shared" si="6"/>
        <v>0</v>
      </c>
      <c r="M61" s="335"/>
      <c r="N61" s="162">
        <f t="shared" si="7"/>
        <v>0</v>
      </c>
      <c r="O61" s="162">
        <f t="shared" si="8"/>
        <v>0</v>
      </c>
      <c r="P61" s="4"/>
    </row>
    <row r="62" spans="2:16">
      <c r="B62" s="9" t="str">
        <f t="shared" si="0"/>
        <v/>
      </c>
      <c r="C62" s="157">
        <f>IF(D11="","-",+C61+1)</f>
        <v>2060</v>
      </c>
      <c r="D62" s="432">
        <f>IF(F61+SUM(E$17:E61)=D$10,F61,D$10-SUM(E$17:E61))</f>
        <v>0</v>
      </c>
      <c r="E62" s="164">
        <f t="shared" si="2"/>
        <v>0</v>
      </c>
      <c r="F62" s="203">
        <f t="shared" si="3"/>
        <v>0</v>
      </c>
      <c r="G62" s="164">
        <f t="shared" si="4"/>
        <v>0</v>
      </c>
      <c r="H62" s="147">
        <f t="shared" si="5"/>
        <v>0</v>
      </c>
      <c r="I62" s="160">
        <f t="shared" si="1"/>
        <v>0</v>
      </c>
      <c r="J62" s="160"/>
      <c r="K62" s="335"/>
      <c r="L62" s="162">
        <f t="shared" si="6"/>
        <v>0</v>
      </c>
      <c r="M62" s="335"/>
      <c r="N62" s="162">
        <f t="shared" si="7"/>
        <v>0</v>
      </c>
      <c r="O62" s="162">
        <f t="shared" si="8"/>
        <v>0</v>
      </c>
      <c r="P62" s="4"/>
    </row>
    <row r="63" spans="2:16">
      <c r="B63" s="9" t="str">
        <f t="shared" si="0"/>
        <v/>
      </c>
      <c r="C63" s="157">
        <f>IF(D11="","-",+C62+1)</f>
        <v>2061</v>
      </c>
      <c r="D63" s="432">
        <f>IF(F62+SUM(E$17:E62)=D$10,F62,D$10-SUM(E$17:E62))</f>
        <v>0</v>
      </c>
      <c r="E63" s="164">
        <f t="shared" si="2"/>
        <v>0</v>
      </c>
      <c r="F63" s="203">
        <f t="shared" si="3"/>
        <v>0</v>
      </c>
      <c r="G63" s="164">
        <f t="shared" si="4"/>
        <v>0</v>
      </c>
      <c r="H63" s="147">
        <f t="shared" si="5"/>
        <v>0</v>
      </c>
      <c r="I63" s="160">
        <f t="shared" si="1"/>
        <v>0</v>
      </c>
      <c r="J63" s="160"/>
      <c r="K63" s="335"/>
      <c r="L63" s="162">
        <f t="shared" si="6"/>
        <v>0</v>
      </c>
      <c r="M63" s="335"/>
      <c r="N63" s="162">
        <f t="shared" si="7"/>
        <v>0</v>
      </c>
      <c r="O63" s="162">
        <f t="shared" si="8"/>
        <v>0</v>
      </c>
      <c r="P63" s="4"/>
    </row>
    <row r="64" spans="2:16">
      <c r="B64" s="9" t="str">
        <f t="shared" si="0"/>
        <v/>
      </c>
      <c r="C64" s="157">
        <f>IF(D11="","-",+C63+1)</f>
        <v>2062</v>
      </c>
      <c r="D64" s="432">
        <f>IF(F63+SUM(E$17:E63)=D$10,F63,D$10-SUM(E$17:E63))</f>
        <v>0</v>
      </c>
      <c r="E64" s="164">
        <f t="shared" si="2"/>
        <v>0</v>
      </c>
      <c r="F64" s="203">
        <f t="shared" si="3"/>
        <v>0</v>
      </c>
      <c r="G64" s="164">
        <f t="shared" si="4"/>
        <v>0</v>
      </c>
      <c r="H64" s="147">
        <f t="shared" si="5"/>
        <v>0</v>
      </c>
      <c r="I64" s="160">
        <f t="shared" si="1"/>
        <v>0</v>
      </c>
      <c r="J64" s="160"/>
      <c r="K64" s="335"/>
      <c r="L64" s="162">
        <f t="shared" si="6"/>
        <v>0</v>
      </c>
      <c r="M64" s="335"/>
      <c r="N64" s="162">
        <f t="shared" si="7"/>
        <v>0</v>
      </c>
      <c r="O64" s="162">
        <f t="shared" si="8"/>
        <v>0</v>
      </c>
      <c r="P64" s="4"/>
    </row>
    <row r="65" spans="2:16">
      <c r="B65" s="9" t="str">
        <f t="shared" si="0"/>
        <v/>
      </c>
      <c r="C65" s="157">
        <f>IF(D11="","-",+C64+1)</f>
        <v>2063</v>
      </c>
      <c r="D65" s="432">
        <f>IF(F64+SUM(E$17:E64)=D$10,F64,D$10-SUM(E$17:E64))</f>
        <v>0</v>
      </c>
      <c r="E65" s="164">
        <f t="shared" si="2"/>
        <v>0</v>
      </c>
      <c r="F65" s="203">
        <f t="shared" si="3"/>
        <v>0</v>
      </c>
      <c r="G65" s="164">
        <f t="shared" si="4"/>
        <v>0</v>
      </c>
      <c r="H65" s="147">
        <f t="shared" si="5"/>
        <v>0</v>
      </c>
      <c r="I65" s="160">
        <f t="shared" si="1"/>
        <v>0</v>
      </c>
      <c r="J65" s="160"/>
      <c r="K65" s="335"/>
      <c r="L65" s="162">
        <f t="shared" si="6"/>
        <v>0</v>
      </c>
      <c r="M65" s="335"/>
      <c r="N65" s="162">
        <f t="shared" si="7"/>
        <v>0</v>
      </c>
      <c r="O65" s="162">
        <f t="shared" si="8"/>
        <v>0</v>
      </c>
      <c r="P65" s="4"/>
    </row>
    <row r="66" spans="2:16">
      <c r="B66" s="9" t="str">
        <f t="shared" si="0"/>
        <v/>
      </c>
      <c r="C66" s="157">
        <f>IF(D11="","-",+C65+1)</f>
        <v>2064</v>
      </c>
      <c r="D66" s="432">
        <f>IF(F65+SUM(E$17:E65)=D$10,F65,D$10-SUM(E$17:E65))</f>
        <v>0</v>
      </c>
      <c r="E66" s="164">
        <f t="shared" si="2"/>
        <v>0</v>
      </c>
      <c r="F66" s="203">
        <f t="shared" si="3"/>
        <v>0</v>
      </c>
      <c r="G66" s="164">
        <f t="shared" si="4"/>
        <v>0</v>
      </c>
      <c r="H66" s="147">
        <f t="shared" si="5"/>
        <v>0</v>
      </c>
      <c r="I66" s="160">
        <f t="shared" si="1"/>
        <v>0</v>
      </c>
      <c r="J66" s="160"/>
      <c r="K66" s="335"/>
      <c r="L66" s="162">
        <f t="shared" si="6"/>
        <v>0</v>
      </c>
      <c r="M66" s="335"/>
      <c r="N66" s="162">
        <f t="shared" si="7"/>
        <v>0</v>
      </c>
      <c r="O66" s="162">
        <f t="shared" si="8"/>
        <v>0</v>
      </c>
      <c r="P66" s="4"/>
    </row>
    <row r="67" spans="2:16">
      <c r="B67" s="9" t="str">
        <f t="shared" si="0"/>
        <v/>
      </c>
      <c r="C67" s="157">
        <f>IF(D11="","-",+C66+1)</f>
        <v>2065</v>
      </c>
      <c r="D67" s="432">
        <f>IF(F66+SUM(E$17:E66)=D$10,F66,D$10-SUM(E$17:E66))</f>
        <v>0</v>
      </c>
      <c r="E67" s="164">
        <f t="shared" si="2"/>
        <v>0</v>
      </c>
      <c r="F67" s="203">
        <f t="shared" si="3"/>
        <v>0</v>
      </c>
      <c r="G67" s="164">
        <f t="shared" si="4"/>
        <v>0</v>
      </c>
      <c r="H67" s="147">
        <f t="shared" si="5"/>
        <v>0</v>
      </c>
      <c r="I67" s="160">
        <f t="shared" si="1"/>
        <v>0</v>
      </c>
      <c r="J67" s="160"/>
      <c r="K67" s="335"/>
      <c r="L67" s="162">
        <f t="shared" si="6"/>
        <v>0</v>
      </c>
      <c r="M67" s="335"/>
      <c r="N67" s="162">
        <f t="shared" si="7"/>
        <v>0</v>
      </c>
      <c r="O67" s="162">
        <f t="shared" si="8"/>
        <v>0</v>
      </c>
      <c r="P67" s="4"/>
    </row>
    <row r="68" spans="2:16">
      <c r="B68" s="9" t="str">
        <f t="shared" si="0"/>
        <v/>
      </c>
      <c r="C68" s="157">
        <f>IF(D11="","-",+C67+1)</f>
        <v>2066</v>
      </c>
      <c r="D68" s="432">
        <f>IF(F67+SUM(E$17:E67)=D$10,F67,D$10-SUM(E$17:E67))</f>
        <v>0</v>
      </c>
      <c r="E68" s="164">
        <f t="shared" si="2"/>
        <v>0</v>
      </c>
      <c r="F68" s="203">
        <f t="shared" si="3"/>
        <v>0</v>
      </c>
      <c r="G68" s="164">
        <f t="shared" si="4"/>
        <v>0</v>
      </c>
      <c r="H68" s="147">
        <f t="shared" si="5"/>
        <v>0</v>
      </c>
      <c r="I68" s="160">
        <f t="shared" si="1"/>
        <v>0</v>
      </c>
      <c r="J68" s="160"/>
      <c r="K68" s="335"/>
      <c r="L68" s="162">
        <f t="shared" si="6"/>
        <v>0</v>
      </c>
      <c r="M68" s="335"/>
      <c r="N68" s="162">
        <f t="shared" si="7"/>
        <v>0</v>
      </c>
      <c r="O68" s="162">
        <f t="shared" si="8"/>
        <v>0</v>
      </c>
      <c r="P68" s="4"/>
    </row>
    <row r="69" spans="2:16">
      <c r="B69" s="9" t="str">
        <f t="shared" si="0"/>
        <v/>
      </c>
      <c r="C69" s="157">
        <f>IF(D11="","-",+C68+1)</f>
        <v>2067</v>
      </c>
      <c r="D69" s="432">
        <f>IF(F68+SUM(E$17:E68)=D$10,F68,D$10-SUM(E$17:E68))</f>
        <v>0</v>
      </c>
      <c r="E69" s="164">
        <f t="shared" si="2"/>
        <v>0</v>
      </c>
      <c r="F69" s="203">
        <f t="shared" si="3"/>
        <v>0</v>
      </c>
      <c r="G69" s="164">
        <f t="shared" si="4"/>
        <v>0</v>
      </c>
      <c r="H69" s="147">
        <f t="shared" si="5"/>
        <v>0</v>
      </c>
      <c r="I69" s="160">
        <f t="shared" si="1"/>
        <v>0</v>
      </c>
      <c r="J69" s="160"/>
      <c r="K69" s="335"/>
      <c r="L69" s="162">
        <f t="shared" si="6"/>
        <v>0</v>
      </c>
      <c r="M69" s="335"/>
      <c r="N69" s="162">
        <f t="shared" si="7"/>
        <v>0</v>
      </c>
      <c r="O69" s="162">
        <f t="shared" si="8"/>
        <v>0</v>
      </c>
      <c r="P69" s="4"/>
    </row>
    <row r="70" spans="2:16">
      <c r="B70" s="9" t="str">
        <f t="shared" si="0"/>
        <v/>
      </c>
      <c r="C70" s="157">
        <f>IF(D11="","-",+C69+1)</f>
        <v>2068</v>
      </c>
      <c r="D70" s="432">
        <f>IF(F69+SUM(E$17:E69)=D$10,F69,D$10-SUM(E$17:E69))</f>
        <v>0</v>
      </c>
      <c r="E70" s="164">
        <f t="shared" si="2"/>
        <v>0</v>
      </c>
      <c r="F70" s="203">
        <f t="shared" si="3"/>
        <v>0</v>
      </c>
      <c r="G70" s="164">
        <f t="shared" si="4"/>
        <v>0</v>
      </c>
      <c r="H70" s="147">
        <f t="shared" si="5"/>
        <v>0</v>
      </c>
      <c r="I70" s="160">
        <f t="shared" si="1"/>
        <v>0</v>
      </c>
      <c r="J70" s="160"/>
      <c r="K70" s="335"/>
      <c r="L70" s="162">
        <f t="shared" si="6"/>
        <v>0</v>
      </c>
      <c r="M70" s="335"/>
      <c r="N70" s="162">
        <f t="shared" si="7"/>
        <v>0</v>
      </c>
      <c r="O70" s="162">
        <f t="shared" si="8"/>
        <v>0</v>
      </c>
      <c r="P70" s="4"/>
    </row>
    <row r="71" spans="2:16">
      <c r="B71" s="9" t="str">
        <f t="shared" si="0"/>
        <v/>
      </c>
      <c r="C71" s="157">
        <f>IF(D11="","-",+C70+1)</f>
        <v>2069</v>
      </c>
      <c r="D71" s="432">
        <f>IF(F70+SUM(E$17:E70)=D$10,F70,D$10-SUM(E$17:E70))</f>
        <v>0</v>
      </c>
      <c r="E71" s="164">
        <f t="shared" si="2"/>
        <v>0</v>
      </c>
      <c r="F71" s="203">
        <f t="shared" si="3"/>
        <v>0</v>
      </c>
      <c r="G71" s="164">
        <f t="shared" si="4"/>
        <v>0</v>
      </c>
      <c r="H71" s="147">
        <f t="shared" si="5"/>
        <v>0</v>
      </c>
      <c r="I71" s="160">
        <f t="shared" si="1"/>
        <v>0</v>
      </c>
      <c r="J71" s="160"/>
      <c r="K71" s="335"/>
      <c r="L71" s="162">
        <f t="shared" si="6"/>
        <v>0</v>
      </c>
      <c r="M71" s="335"/>
      <c r="N71" s="162">
        <f t="shared" si="7"/>
        <v>0</v>
      </c>
      <c r="O71" s="162">
        <f t="shared" si="8"/>
        <v>0</v>
      </c>
      <c r="P71" s="4"/>
    </row>
    <row r="72" spans="2:16" ht="13.5" thickBot="1">
      <c r="B72" s="9" t="str">
        <f t="shared" si="0"/>
        <v/>
      </c>
      <c r="C72" s="168">
        <f>IF(D11="","-",+C71+1)</f>
        <v>2070</v>
      </c>
      <c r="D72" s="388">
        <f>IF(F71+SUM(E$17:E71)=D$10,F71,D$10-SUM(E$17:E71))</f>
        <v>0</v>
      </c>
      <c r="E72" s="170">
        <f t="shared" si="2"/>
        <v>0</v>
      </c>
      <c r="F72" s="479">
        <f t="shared" si="3"/>
        <v>0</v>
      </c>
      <c r="G72" s="170">
        <f t="shared" si="4"/>
        <v>0</v>
      </c>
      <c r="H72" s="169">
        <f t="shared" si="5"/>
        <v>0</v>
      </c>
      <c r="I72" s="172">
        <f t="shared" si="1"/>
        <v>0</v>
      </c>
      <c r="J72" s="160"/>
      <c r="K72" s="336"/>
      <c r="L72" s="173">
        <f t="shared" si="6"/>
        <v>0</v>
      </c>
      <c r="M72" s="336"/>
      <c r="N72" s="173">
        <f t="shared" si="7"/>
        <v>0</v>
      </c>
      <c r="O72" s="173">
        <f t="shared" si="8"/>
        <v>0</v>
      </c>
      <c r="P72" s="4"/>
    </row>
    <row r="73" spans="2:16">
      <c r="C73" s="158" t="s">
        <v>72</v>
      </c>
      <c r="D73" s="115"/>
      <c r="E73" s="115">
        <f>SUM(E17:E72)</f>
        <v>1692023</v>
      </c>
      <c r="F73" s="115"/>
      <c r="G73" s="115">
        <f>SUM(G17:G72)</f>
        <v>5961087.2539695809</v>
      </c>
      <c r="H73" s="115">
        <f>SUM(H17:H72)</f>
        <v>5961087.2539695809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17 of 28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2018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251897.51111111112</v>
      </c>
      <c r="N87" s="202">
        <f>IF(J92&lt;D11,0,VLOOKUP(J92,C17:O72,11))</f>
        <v>251897.51111111112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203600.82637045698</v>
      </c>
      <c r="N88" s="204">
        <f>IF(J92&lt;D11,0,VLOOKUP(J92,C99:P154,7))</f>
        <v>203600.82637045698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Grady Customer Connection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-48296.684740654135</v>
      </c>
      <c r="N89" s="207">
        <f>+N88-N87</f>
        <v>-48296.684740654135</v>
      </c>
      <c r="O89" s="208">
        <f>+O88-O87</f>
        <v>0</v>
      </c>
      <c r="P89" s="1"/>
    </row>
    <row r="90" spans="1:16" ht="13.5" thickBot="1">
      <c r="C90" s="174"/>
      <c r="D90" s="177" t="str">
        <f>D8</f>
        <v/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 t="str">
        <f>+D9</f>
        <v>TP1300201</v>
      </c>
      <c r="E91" s="210" t="str">
        <f>E9</f>
        <v xml:space="preserve">  SPP Project ID = 30748</v>
      </c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450">
        <v>1692023</v>
      </c>
      <c r="E92" s="22" t="s">
        <v>89</v>
      </c>
      <c r="H92" s="139"/>
      <c r="I92" s="139"/>
      <c r="J92" s="140">
        <f>+'PSO.WS.G.BPU.ATRR.True-up'!M16</f>
        <v>2018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2015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12</v>
      </c>
      <c r="E94" s="141" t="s">
        <v>51</v>
      </c>
      <c r="F94" s="139"/>
      <c r="G94" s="139"/>
      <c r="J94" s="145">
        <f>'PSO.WS.G.BPU.ATRR.True-up'!$F$81</f>
        <v>0.10273556682691798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43</v>
      </c>
      <c r="E95" s="141" t="s">
        <v>54</v>
      </c>
      <c r="F95" s="139"/>
      <c r="G95" s="139"/>
      <c r="J95" s="145">
        <f>IF(H87="",J94,'PSO.WS.G.BPU.ATRR.True-up'!$F$80)</f>
        <v>0.10273556682691798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39349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277</v>
      </c>
      <c r="I97" s="339" t="s">
        <v>278</v>
      </c>
      <c r="J97" s="214" t="s">
        <v>93</v>
      </c>
      <c r="K97" s="216"/>
      <c r="L97" s="151" t="s">
        <v>97</v>
      </c>
      <c r="M97" s="151" t="s">
        <v>94</v>
      </c>
      <c r="N97" s="151" t="s">
        <v>97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2015</v>
      </c>
      <c r="D99" s="435">
        <v>0</v>
      </c>
      <c r="E99" s="440">
        <v>0</v>
      </c>
      <c r="F99" s="435">
        <v>1625288</v>
      </c>
      <c r="G99" s="440">
        <v>812644</v>
      </c>
      <c r="H99" s="438">
        <v>110878.7398202499</v>
      </c>
      <c r="I99" s="316">
        <v>110878.7398202499</v>
      </c>
      <c r="J99" s="162">
        <f>+I99-H99</f>
        <v>0</v>
      </c>
      <c r="K99" s="162"/>
      <c r="L99" s="337">
        <f>+H99</f>
        <v>110878.7398202499</v>
      </c>
      <c r="M99" s="161">
        <f t="shared" ref="M99:M130" si="9">IF(L99&lt;&gt;0,+H99-L99,0)</f>
        <v>0</v>
      </c>
      <c r="N99" s="337">
        <f>+I99</f>
        <v>110878.7398202499</v>
      </c>
      <c r="O99" s="161">
        <f t="shared" ref="O99:O130" si="10">IF(N99&lt;&gt;0,+I99-N99,0)</f>
        <v>0</v>
      </c>
      <c r="P99" s="161">
        <f t="shared" ref="P99:P130" si="11">+O99-M99</f>
        <v>0</v>
      </c>
    </row>
    <row r="100" spans="1:16">
      <c r="B100" s="9" t="str">
        <f>IF(D100=F99,"","IU")</f>
        <v>IU</v>
      </c>
      <c r="C100" s="157">
        <f>IF(D93="","-",+C99+1)</f>
        <v>2016</v>
      </c>
      <c r="D100" s="435">
        <v>1692023</v>
      </c>
      <c r="E100" s="436">
        <v>36783</v>
      </c>
      <c r="F100" s="437">
        <v>1655240</v>
      </c>
      <c r="G100" s="437">
        <v>1673631.5</v>
      </c>
      <c r="H100" s="448">
        <v>252540.45816220198</v>
      </c>
      <c r="I100" s="449">
        <v>252540.45816220198</v>
      </c>
      <c r="J100" s="162">
        <v>0</v>
      </c>
      <c r="K100" s="162"/>
      <c r="L100" s="338">
        <f>+H100</f>
        <v>252540.45816220198</v>
      </c>
      <c r="M100" s="175">
        <f>IF(L100&lt;&gt;0,+H100-L100,0)</f>
        <v>0</v>
      </c>
      <c r="N100" s="338">
        <f>+I100</f>
        <v>252540.45816220198</v>
      </c>
      <c r="O100" s="160">
        <f>IF(N100&lt;&gt;0,+I100-N100,0)</f>
        <v>0</v>
      </c>
      <c r="P100" s="162">
        <f>+O100-M100</f>
        <v>0</v>
      </c>
    </row>
    <row r="101" spans="1:16">
      <c r="B101" s="9" t="str">
        <f t="shared" ref="B101:B154" si="12">IF(D101=F100,"","IU")</f>
        <v/>
      </c>
      <c r="C101" s="157">
        <f>IF(D93="","-",+C100+1)</f>
        <v>2017</v>
      </c>
      <c r="D101" s="435">
        <v>1655240</v>
      </c>
      <c r="E101" s="436">
        <v>36783</v>
      </c>
      <c r="F101" s="437">
        <v>1618457</v>
      </c>
      <c r="G101" s="437">
        <v>1636848.5</v>
      </c>
      <c r="H101" s="448">
        <v>244421.35953995908</v>
      </c>
      <c r="I101" s="449">
        <v>244421.35953995908</v>
      </c>
      <c r="J101" s="162">
        <f t="shared" ref="J101:J154" si="13">+I101-H101</f>
        <v>0</v>
      </c>
      <c r="K101" s="162"/>
      <c r="L101" s="338">
        <f>+H101</f>
        <v>244421.35953995908</v>
      </c>
      <c r="M101" s="175">
        <f>IF(L101&lt;&gt;0,+H101-L101,0)</f>
        <v>0</v>
      </c>
      <c r="N101" s="338">
        <f>+I101</f>
        <v>244421.35953995908</v>
      </c>
      <c r="O101" s="160">
        <f>IF(N101&lt;&gt;0,+I101-N101,0)</f>
        <v>0</v>
      </c>
      <c r="P101" s="162">
        <f>+O101-M101</f>
        <v>0</v>
      </c>
    </row>
    <row r="102" spans="1:16">
      <c r="B102" s="9" t="str">
        <f t="shared" si="12"/>
        <v/>
      </c>
      <c r="C102" s="157">
        <f>IF(D93="","-",+C101+1)</f>
        <v>2018</v>
      </c>
      <c r="D102" s="158">
        <f>IF(F101+SUM(E$99:E101)=D$92,F101,D$92-SUM(E$99:E101))</f>
        <v>1618457</v>
      </c>
      <c r="E102" s="164">
        <f t="shared" ref="E102:E154" si="14">IF(+J$96&lt;F101,J$96,D102)</f>
        <v>39349</v>
      </c>
      <c r="F102" s="163">
        <f t="shared" ref="F102:F154" si="15">+D102-E102</f>
        <v>1579108</v>
      </c>
      <c r="G102" s="163">
        <f t="shared" ref="G102:G154" si="16">+(F102+D102)/2</f>
        <v>1598782.5</v>
      </c>
      <c r="H102" s="167">
        <f t="shared" ref="H102:H154" si="17">+J$94*G102+E102</f>
        <v>203600.82637045698</v>
      </c>
      <c r="I102" s="317">
        <f t="shared" ref="I102:I154" si="18">+J$95*G102+E102</f>
        <v>203600.82637045698</v>
      </c>
      <c r="J102" s="162">
        <f t="shared" si="13"/>
        <v>0</v>
      </c>
      <c r="K102" s="162"/>
      <c r="L102" s="335"/>
      <c r="M102" s="162">
        <f t="shared" si="9"/>
        <v>0</v>
      </c>
      <c r="N102" s="335"/>
      <c r="O102" s="162">
        <f t="shared" si="10"/>
        <v>0</v>
      </c>
      <c r="P102" s="162">
        <f t="shared" si="11"/>
        <v>0</v>
      </c>
    </row>
    <row r="103" spans="1:16">
      <c r="B103" s="9" t="str">
        <f t="shared" si="12"/>
        <v/>
      </c>
      <c r="C103" s="157">
        <f>IF(D93="","-",+C102+1)</f>
        <v>2019</v>
      </c>
      <c r="D103" s="158">
        <f>IF(F102+SUM(E$99:E102)=D$92,F102,D$92-SUM(E$99:E102))</f>
        <v>1579108</v>
      </c>
      <c r="E103" s="164">
        <f t="shared" si="14"/>
        <v>39349</v>
      </c>
      <c r="F103" s="163">
        <f t="shared" si="15"/>
        <v>1539759</v>
      </c>
      <c r="G103" s="163">
        <f t="shared" si="16"/>
        <v>1559433.5</v>
      </c>
      <c r="H103" s="167">
        <f t="shared" si="17"/>
        <v>199558.2845513846</v>
      </c>
      <c r="I103" s="317">
        <f t="shared" si="18"/>
        <v>199558.2845513846</v>
      </c>
      <c r="J103" s="162">
        <f t="shared" si="13"/>
        <v>0</v>
      </c>
      <c r="K103" s="162"/>
      <c r="L103" s="335"/>
      <c r="M103" s="162">
        <f t="shared" si="9"/>
        <v>0</v>
      </c>
      <c r="N103" s="335"/>
      <c r="O103" s="162">
        <f t="shared" si="10"/>
        <v>0</v>
      </c>
      <c r="P103" s="162">
        <f t="shared" si="11"/>
        <v>0</v>
      </c>
    </row>
    <row r="104" spans="1:16">
      <c r="B104" s="9" t="str">
        <f t="shared" si="12"/>
        <v/>
      </c>
      <c r="C104" s="157">
        <f>IF(D93="","-",+C103+1)</f>
        <v>2020</v>
      </c>
      <c r="D104" s="158">
        <f>IF(F103+SUM(E$99:E103)=D$92,F103,D$92-SUM(E$99:E103))</f>
        <v>1539759</v>
      </c>
      <c r="E104" s="164">
        <f t="shared" si="14"/>
        <v>39349</v>
      </c>
      <c r="F104" s="163">
        <f t="shared" si="15"/>
        <v>1500410</v>
      </c>
      <c r="G104" s="163">
        <f t="shared" si="16"/>
        <v>1520084.5</v>
      </c>
      <c r="H104" s="167">
        <f t="shared" si="17"/>
        <v>195515.74273231221</v>
      </c>
      <c r="I104" s="317">
        <f t="shared" si="18"/>
        <v>195515.74273231221</v>
      </c>
      <c r="J104" s="162">
        <f t="shared" si="13"/>
        <v>0</v>
      </c>
      <c r="K104" s="162"/>
      <c r="L104" s="335"/>
      <c r="M104" s="162">
        <f t="shared" si="9"/>
        <v>0</v>
      </c>
      <c r="N104" s="335"/>
      <c r="O104" s="162">
        <f t="shared" si="10"/>
        <v>0</v>
      </c>
      <c r="P104" s="162">
        <f t="shared" si="11"/>
        <v>0</v>
      </c>
    </row>
    <row r="105" spans="1:16">
      <c r="B105" s="9" t="str">
        <f t="shared" si="12"/>
        <v/>
      </c>
      <c r="C105" s="157">
        <f>IF(D93="","-",+C104+1)</f>
        <v>2021</v>
      </c>
      <c r="D105" s="158">
        <f>IF(F104+SUM(E$99:E104)=D$92,F104,D$92-SUM(E$99:E104))</f>
        <v>1500410</v>
      </c>
      <c r="E105" s="164">
        <f t="shared" si="14"/>
        <v>39349</v>
      </c>
      <c r="F105" s="163">
        <f t="shared" si="15"/>
        <v>1461061</v>
      </c>
      <c r="G105" s="163">
        <f t="shared" si="16"/>
        <v>1480735.5</v>
      </c>
      <c r="H105" s="167">
        <f t="shared" si="17"/>
        <v>191473.20091323979</v>
      </c>
      <c r="I105" s="317">
        <f t="shared" si="18"/>
        <v>191473.20091323979</v>
      </c>
      <c r="J105" s="162">
        <f t="shared" si="13"/>
        <v>0</v>
      </c>
      <c r="K105" s="162"/>
      <c r="L105" s="335"/>
      <c r="M105" s="162">
        <f t="shared" si="9"/>
        <v>0</v>
      </c>
      <c r="N105" s="335"/>
      <c r="O105" s="162">
        <f t="shared" si="10"/>
        <v>0</v>
      </c>
      <c r="P105" s="162">
        <f t="shared" si="11"/>
        <v>0</v>
      </c>
    </row>
    <row r="106" spans="1:16">
      <c r="B106" s="9" t="str">
        <f t="shared" si="12"/>
        <v/>
      </c>
      <c r="C106" s="157">
        <f>IF(D93="","-",+C105+1)</f>
        <v>2022</v>
      </c>
      <c r="D106" s="158">
        <f>IF(F105+SUM(E$99:E105)=D$92,F105,D$92-SUM(E$99:E105))</f>
        <v>1461061</v>
      </c>
      <c r="E106" s="164">
        <f t="shared" si="14"/>
        <v>39349</v>
      </c>
      <c r="F106" s="163">
        <f t="shared" si="15"/>
        <v>1421712</v>
      </c>
      <c r="G106" s="163">
        <f t="shared" si="16"/>
        <v>1441386.5</v>
      </c>
      <c r="H106" s="167">
        <f t="shared" si="17"/>
        <v>187430.65909416741</v>
      </c>
      <c r="I106" s="317">
        <f t="shared" si="18"/>
        <v>187430.65909416741</v>
      </c>
      <c r="J106" s="162">
        <f t="shared" si="13"/>
        <v>0</v>
      </c>
      <c r="K106" s="162"/>
      <c r="L106" s="335"/>
      <c r="M106" s="162">
        <f t="shared" si="9"/>
        <v>0</v>
      </c>
      <c r="N106" s="335"/>
      <c r="O106" s="162">
        <f t="shared" si="10"/>
        <v>0</v>
      </c>
      <c r="P106" s="162">
        <f t="shared" si="11"/>
        <v>0</v>
      </c>
    </row>
    <row r="107" spans="1:16">
      <c r="B107" s="9" t="str">
        <f t="shared" si="12"/>
        <v/>
      </c>
      <c r="C107" s="157">
        <f>IF(D93="","-",+C106+1)</f>
        <v>2023</v>
      </c>
      <c r="D107" s="158">
        <f>IF(F106+SUM(E$99:E106)=D$92,F106,D$92-SUM(E$99:E106))</f>
        <v>1421712</v>
      </c>
      <c r="E107" s="164">
        <f t="shared" si="14"/>
        <v>39349</v>
      </c>
      <c r="F107" s="163">
        <f t="shared" si="15"/>
        <v>1382363</v>
      </c>
      <c r="G107" s="163">
        <f t="shared" si="16"/>
        <v>1402037.5</v>
      </c>
      <c r="H107" s="167">
        <f t="shared" si="17"/>
        <v>183388.11727509502</v>
      </c>
      <c r="I107" s="317">
        <f t="shared" si="18"/>
        <v>183388.11727509502</v>
      </c>
      <c r="J107" s="162">
        <f t="shared" si="13"/>
        <v>0</v>
      </c>
      <c r="K107" s="162"/>
      <c r="L107" s="335"/>
      <c r="M107" s="162">
        <f t="shared" si="9"/>
        <v>0</v>
      </c>
      <c r="N107" s="335"/>
      <c r="O107" s="162">
        <f t="shared" si="10"/>
        <v>0</v>
      </c>
      <c r="P107" s="162">
        <f t="shared" si="11"/>
        <v>0</v>
      </c>
    </row>
    <row r="108" spans="1:16">
      <c r="B108" s="9" t="str">
        <f t="shared" si="12"/>
        <v/>
      </c>
      <c r="C108" s="157">
        <f>IF(D93="","-",+C107+1)</f>
        <v>2024</v>
      </c>
      <c r="D108" s="158">
        <f>IF(F107+SUM(E$99:E107)=D$92,F107,D$92-SUM(E$99:E107))</f>
        <v>1382363</v>
      </c>
      <c r="E108" s="164">
        <f t="shared" si="14"/>
        <v>39349</v>
      </c>
      <c r="F108" s="163">
        <f t="shared" si="15"/>
        <v>1343014</v>
      </c>
      <c r="G108" s="163">
        <f t="shared" si="16"/>
        <v>1362688.5</v>
      </c>
      <c r="H108" s="167">
        <f t="shared" si="17"/>
        <v>179345.57545602263</v>
      </c>
      <c r="I108" s="317">
        <f t="shared" si="18"/>
        <v>179345.57545602263</v>
      </c>
      <c r="J108" s="162">
        <f t="shared" si="13"/>
        <v>0</v>
      </c>
      <c r="K108" s="162"/>
      <c r="L108" s="335"/>
      <c r="M108" s="162">
        <f t="shared" si="9"/>
        <v>0</v>
      </c>
      <c r="N108" s="335"/>
      <c r="O108" s="162">
        <f t="shared" si="10"/>
        <v>0</v>
      </c>
      <c r="P108" s="162">
        <f t="shared" si="11"/>
        <v>0</v>
      </c>
    </row>
    <row r="109" spans="1:16">
      <c r="B109" s="9" t="str">
        <f t="shared" si="12"/>
        <v/>
      </c>
      <c r="C109" s="157">
        <f>IF(D93="","-",+C108+1)</f>
        <v>2025</v>
      </c>
      <c r="D109" s="158">
        <f>IF(F108+SUM(E$99:E108)=D$92,F108,D$92-SUM(E$99:E108))</f>
        <v>1343014</v>
      </c>
      <c r="E109" s="164">
        <f t="shared" si="14"/>
        <v>39349</v>
      </c>
      <c r="F109" s="163">
        <f t="shared" si="15"/>
        <v>1303665</v>
      </c>
      <c r="G109" s="163">
        <f t="shared" si="16"/>
        <v>1323339.5</v>
      </c>
      <c r="H109" s="167">
        <f t="shared" si="17"/>
        <v>175303.03363695022</v>
      </c>
      <c r="I109" s="317">
        <f t="shared" si="18"/>
        <v>175303.03363695022</v>
      </c>
      <c r="J109" s="162">
        <f t="shared" si="13"/>
        <v>0</v>
      </c>
      <c r="K109" s="162"/>
      <c r="L109" s="335"/>
      <c r="M109" s="162">
        <f t="shared" si="9"/>
        <v>0</v>
      </c>
      <c r="N109" s="335"/>
      <c r="O109" s="162">
        <f t="shared" si="10"/>
        <v>0</v>
      </c>
      <c r="P109" s="162">
        <f t="shared" si="11"/>
        <v>0</v>
      </c>
    </row>
    <row r="110" spans="1:16">
      <c r="B110" s="9" t="str">
        <f t="shared" si="12"/>
        <v/>
      </c>
      <c r="C110" s="157">
        <f>IF(D93="","-",+C109+1)</f>
        <v>2026</v>
      </c>
      <c r="D110" s="158">
        <f>IF(F109+SUM(E$99:E109)=D$92,F109,D$92-SUM(E$99:E109))</f>
        <v>1303665</v>
      </c>
      <c r="E110" s="164">
        <f t="shared" si="14"/>
        <v>39349</v>
      </c>
      <c r="F110" s="163">
        <f t="shared" si="15"/>
        <v>1264316</v>
      </c>
      <c r="G110" s="163">
        <f t="shared" si="16"/>
        <v>1283990.5</v>
      </c>
      <c r="H110" s="167">
        <f t="shared" si="17"/>
        <v>171260.49181787783</v>
      </c>
      <c r="I110" s="317">
        <f t="shared" si="18"/>
        <v>171260.49181787783</v>
      </c>
      <c r="J110" s="162">
        <f t="shared" si="13"/>
        <v>0</v>
      </c>
      <c r="K110" s="162"/>
      <c r="L110" s="335"/>
      <c r="M110" s="162">
        <f t="shared" si="9"/>
        <v>0</v>
      </c>
      <c r="N110" s="335"/>
      <c r="O110" s="162">
        <f t="shared" si="10"/>
        <v>0</v>
      </c>
      <c r="P110" s="162">
        <f t="shared" si="11"/>
        <v>0</v>
      </c>
    </row>
    <row r="111" spans="1:16">
      <c r="B111" s="9" t="str">
        <f t="shared" si="12"/>
        <v/>
      </c>
      <c r="C111" s="157">
        <f>IF(D93="","-",+C110+1)</f>
        <v>2027</v>
      </c>
      <c r="D111" s="158">
        <f>IF(F110+SUM(E$99:E110)=D$92,F110,D$92-SUM(E$99:E110))</f>
        <v>1264316</v>
      </c>
      <c r="E111" s="164">
        <f t="shared" si="14"/>
        <v>39349</v>
      </c>
      <c r="F111" s="163">
        <f t="shared" si="15"/>
        <v>1224967</v>
      </c>
      <c r="G111" s="163">
        <f t="shared" si="16"/>
        <v>1244641.5</v>
      </c>
      <c r="H111" s="167">
        <f t="shared" si="17"/>
        <v>167217.94999880542</v>
      </c>
      <c r="I111" s="317">
        <f t="shared" si="18"/>
        <v>167217.94999880542</v>
      </c>
      <c r="J111" s="162">
        <f t="shared" si="13"/>
        <v>0</v>
      </c>
      <c r="K111" s="162"/>
      <c r="L111" s="335"/>
      <c r="M111" s="162">
        <f t="shared" si="9"/>
        <v>0</v>
      </c>
      <c r="N111" s="335"/>
      <c r="O111" s="162">
        <f t="shared" si="10"/>
        <v>0</v>
      </c>
      <c r="P111" s="162">
        <f t="shared" si="11"/>
        <v>0</v>
      </c>
    </row>
    <row r="112" spans="1:16">
      <c r="B112" s="9" t="str">
        <f t="shared" si="12"/>
        <v/>
      </c>
      <c r="C112" s="157">
        <f>IF(D93="","-",+C111+1)</f>
        <v>2028</v>
      </c>
      <c r="D112" s="158">
        <f>IF(F111+SUM(E$99:E111)=D$92,F111,D$92-SUM(E$99:E111))</f>
        <v>1224967</v>
      </c>
      <c r="E112" s="164">
        <f t="shared" si="14"/>
        <v>39349</v>
      </c>
      <c r="F112" s="163">
        <f t="shared" si="15"/>
        <v>1185618</v>
      </c>
      <c r="G112" s="163">
        <f t="shared" si="16"/>
        <v>1205292.5</v>
      </c>
      <c r="H112" s="167">
        <f t="shared" si="17"/>
        <v>163175.40817973303</v>
      </c>
      <c r="I112" s="317">
        <f t="shared" si="18"/>
        <v>163175.40817973303</v>
      </c>
      <c r="J112" s="162">
        <f t="shared" si="13"/>
        <v>0</v>
      </c>
      <c r="K112" s="162"/>
      <c r="L112" s="335"/>
      <c r="M112" s="162">
        <f t="shared" si="9"/>
        <v>0</v>
      </c>
      <c r="N112" s="335"/>
      <c r="O112" s="162">
        <f t="shared" si="10"/>
        <v>0</v>
      </c>
      <c r="P112" s="162">
        <f t="shared" si="11"/>
        <v>0</v>
      </c>
    </row>
    <row r="113" spans="2:16">
      <c r="B113" s="9" t="str">
        <f t="shared" si="12"/>
        <v/>
      </c>
      <c r="C113" s="157">
        <f>IF(D93="","-",+C112+1)</f>
        <v>2029</v>
      </c>
      <c r="D113" s="158">
        <f>IF(F112+SUM(E$99:E112)=D$92,F112,D$92-SUM(E$99:E112))</f>
        <v>1185618</v>
      </c>
      <c r="E113" s="164">
        <f t="shared" si="14"/>
        <v>39349</v>
      </c>
      <c r="F113" s="163">
        <f t="shared" si="15"/>
        <v>1146269</v>
      </c>
      <c r="G113" s="163">
        <f t="shared" si="16"/>
        <v>1165943.5</v>
      </c>
      <c r="H113" s="167">
        <f t="shared" si="17"/>
        <v>159132.86636066064</v>
      </c>
      <c r="I113" s="317">
        <f t="shared" si="18"/>
        <v>159132.86636066064</v>
      </c>
      <c r="J113" s="162">
        <f t="shared" si="13"/>
        <v>0</v>
      </c>
      <c r="K113" s="162"/>
      <c r="L113" s="335"/>
      <c r="M113" s="162">
        <f t="shared" si="9"/>
        <v>0</v>
      </c>
      <c r="N113" s="335"/>
      <c r="O113" s="162">
        <f t="shared" si="10"/>
        <v>0</v>
      </c>
      <c r="P113" s="162">
        <f t="shared" si="11"/>
        <v>0</v>
      </c>
    </row>
    <row r="114" spans="2:16">
      <c r="B114" s="9" t="str">
        <f t="shared" si="12"/>
        <v/>
      </c>
      <c r="C114" s="157">
        <f>IF(D93="","-",+C113+1)</f>
        <v>2030</v>
      </c>
      <c r="D114" s="158">
        <f>IF(F113+SUM(E$99:E113)=D$92,F113,D$92-SUM(E$99:E113))</f>
        <v>1146269</v>
      </c>
      <c r="E114" s="164">
        <f t="shared" si="14"/>
        <v>39349</v>
      </c>
      <c r="F114" s="163">
        <f t="shared" si="15"/>
        <v>1106920</v>
      </c>
      <c r="G114" s="163">
        <f t="shared" si="16"/>
        <v>1126594.5</v>
      </c>
      <c r="H114" s="167">
        <f t="shared" si="17"/>
        <v>155090.32454158826</v>
      </c>
      <c r="I114" s="317">
        <f t="shared" si="18"/>
        <v>155090.32454158826</v>
      </c>
      <c r="J114" s="162">
        <f t="shared" si="13"/>
        <v>0</v>
      </c>
      <c r="K114" s="162"/>
      <c r="L114" s="335"/>
      <c r="M114" s="162">
        <f t="shared" si="9"/>
        <v>0</v>
      </c>
      <c r="N114" s="335"/>
      <c r="O114" s="162">
        <f t="shared" si="10"/>
        <v>0</v>
      </c>
      <c r="P114" s="162">
        <f t="shared" si="11"/>
        <v>0</v>
      </c>
    </row>
    <row r="115" spans="2:16">
      <c r="B115" s="9" t="str">
        <f t="shared" si="12"/>
        <v/>
      </c>
      <c r="C115" s="157">
        <f>IF(D93="","-",+C114+1)</f>
        <v>2031</v>
      </c>
      <c r="D115" s="158">
        <f>IF(F114+SUM(E$99:E114)=D$92,F114,D$92-SUM(E$99:E114))</f>
        <v>1106920</v>
      </c>
      <c r="E115" s="164">
        <f t="shared" si="14"/>
        <v>39349</v>
      </c>
      <c r="F115" s="163">
        <f t="shared" si="15"/>
        <v>1067571</v>
      </c>
      <c r="G115" s="163">
        <f t="shared" si="16"/>
        <v>1087245.5</v>
      </c>
      <c r="H115" s="167">
        <f t="shared" si="17"/>
        <v>151047.78272251587</v>
      </c>
      <c r="I115" s="317">
        <f t="shared" si="18"/>
        <v>151047.78272251587</v>
      </c>
      <c r="J115" s="162">
        <f t="shared" si="13"/>
        <v>0</v>
      </c>
      <c r="K115" s="162"/>
      <c r="L115" s="335"/>
      <c r="M115" s="162">
        <f t="shared" si="9"/>
        <v>0</v>
      </c>
      <c r="N115" s="335"/>
      <c r="O115" s="162">
        <f t="shared" si="10"/>
        <v>0</v>
      </c>
      <c r="P115" s="162">
        <f t="shared" si="11"/>
        <v>0</v>
      </c>
    </row>
    <row r="116" spans="2:16">
      <c r="B116" s="9" t="str">
        <f t="shared" si="12"/>
        <v/>
      </c>
      <c r="C116" s="157">
        <f>IF(D93="","-",+C115+1)</f>
        <v>2032</v>
      </c>
      <c r="D116" s="158">
        <f>IF(F115+SUM(E$99:E115)=D$92,F115,D$92-SUM(E$99:E115))</f>
        <v>1067571</v>
      </c>
      <c r="E116" s="164">
        <f t="shared" si="14"/>
        <v>39349</v>
      </c>
      <c r="F116" s="163">
        <f t="shared" si="15"/>
        <v>1028222</v>
      </c>
      <c r="G116" s="163">
        <f t="shared" si="16"/>
        <v>1047896.5</v>
      </c>
      <c r="H116" s="167">
        <f t="shared" si="17"/>
        <v>147005.24090344345</v>
      </c>
      <c r="I116" s="317">
        <f t="shared" si="18"/>
        <v>147005.24090344345</v>
      </c>
      <c r="J116" s="162">
        <f t="shared" si="13"/>
        <v>0</v>
      </c>
      <c r="K116" s="162"/>
      <c r="L116" s="335"/>
      <c r="M116" s="162">
        <f t="shared" si="9"/>
        <v>0</v>
      </c>
      <c r="N116" s="335"/>
      <c r="O116" s="162">
        <f t="shared" si="10"/>
        <v>0</v>
      </c>
      <c r="P116" s="162">
        <f t="shared" si="11"/>
        <v>0</v>
      </c>
    </row>
    <row r="117" spans="2:16">
      <c r="B117" s="9" t="str">
        <f t="shared" si="12"/>
        <v/>
      </c>
      <c r="C117" s="157">
        <f>IF(D93="","-",+C116+1)</f>
        <v>2033</v>
      </c>
      <c r="D117" s="158">
        <f>IF(F116+SUM(E$99:E116)=D$92,F116,D$92-SUM(E$99:E116))</f>
        <v>1028222</v>
      </c>
      <c r="E117" s="164">
        <f t="shared" si="14"/>
        <v>39349</v>
      </c>
      <c r="F117" s="163">
        <f t="shared" si="15"/>
        <v>988873</v>
      </c>
      <c r="G117" s="163">
        <f t="shared" si="16"/>
        <v>1008547.5</v>
      </c>
      <c r="H117" s="167">
        <f t="shared" si="17"/>
        <v>142962.69908437107</v>
      </c>
      <c r="I117" s="317">
        <f t="shared" si="18"/>
        <v>142962.69908437107</v>
      </c>
      <c r="J117" s="162">
        <f t="shared" si="13"/>
        <v>0</v>
      </c>
      <c r="K117" s="162"/>
      <c r="L117" s="335"/>
      <c r="M117" s="162">
        <f t="shared" si="9"/>
        <v>0</v>
      </c>
      <c r="N117" s="335"/>
      <c r="O117" s="162">
        <f t="shared" si="10"/>
        <v>0</v>
      </c>
      <c r="P117" s="162">
        <f t="shared" si="11"/>
        <v>0</v>
      </c>
    </row>
    <row r="118" spans="2:16">
      <c r="B118" s="9" t="str">
        <f t="shared" si="12"/>
        <v/>
      </c>
      <c r="C118" s="157">
        <f>IF(D93="","-",+C117+1)</f>
        <v>2034</v>
      </c>
      <c r="D118" s="158">
        <f>IF(F117+SUM(E$99:E117)=D$92,F117,D$92-SUM(E$99:E117))</f>
        <v>988873</v>
      </c>
      <c r="E118" s="164">
        <f t="shared" si="14"/>
        <v>39349</v>
      </c>
      <c r="F118" s="163">
        <f t="shared" si="15"/>
        <v>949524</v>
      </c>
      <c r="G118" s="163">
        <f t="shared" si="16"/>
        <v>969198.5</v>
      </c>
      <c r="H118" s="167">
        <f t="shared" si="17"/>
        <v>138920.15726529865</v>
      </c>
      <c r="I118" s="317">
        <f t="shared" si="18"/>
        <v>138920.15726529865</v>
      </c>
      <c r="J118" s="162">
        <f t="shared" si="13"/>
        <v>0</v>
      </c>
      <c r="K118" s="162"/>
      <c r="L118" s="335"/>
      <c r="M118" s="162">
        <f t="shared" si="9"/>
        <v>0</v>
      </c>
      <c r="N118" s="335"/>
      <c r="O118" s="162">
        <f t="shared" si="10"/>
        <v>0</v>
      </c>
      <c r="P118" s="162">
        <f t="shared" si="11"/>
        <v>0</v>
      </c>
    </row>
    <row r="119" spans="2:16">
      <c r="B119" s="9" t="str">
        <f t="shared" si="12"/>
        <v/>
      </c>
      <c r="C119" s="157">
        <f>IF(D93="","-",+C118+1)</f>
        <v>2035</v>
      </c>
      <c r="D119" s="158">
        <f>IF(F118+SUM(E$99:E118)=D$92,F118,D$92-SUM(E$99:E118))</f>
        <v>949524</v>
      </c>
      <c r="E119" s="164">
        <f t="shared" si="14"/>
        <v>39349</v>
      </c>
      <c r="F119" s="163">
        <f t="shared" si="15"/>
        <v>910175</v>
      </c>
      <c r="G119" s="163">
        <f t="shared" si="16"/>
        <v>929849.5</v>
      </c>
      <c r="H119" s="167">
        <f t="shared" si="17"/>
        <v>134877.61544622626</v>
      </c>
      <c r="I119" s="317">
        <f t="shared" si="18"/>
        <v>134877.61544622626</v>
      </c>
      <c r="J119" s="162">
        <f t="shared" si="13"/>
        <v>0</v>
      </c>
      <c r="K119" s="162"/>
      <c r="L119" s="335"/>
      <c r="M119" s="162">
        <f t="shared" si="9"/>
        <v>0</v>
      </c>
      <c r="N119" s="335"/>
      <c r="O119" s="162">
        <f t="shared" si="10"/>
        <v>0</v>
      </c>
      <c r="P119" s="162">
        <f t="shared" si="11"/>
        <v>0</v>
      </c>
    </row>
    <row r="120" spans="2:16">
      <c r="B120" s="9" t="str">
        <f t="shared" si="12"/>
        <v/>
      </c>
      <c r="C120" s="157">
        <f>IF(D93="","-",+C119+1)</f>
        <v>2036</v>
      </c>
      <c r="D120" s="158">
        <f>IF(F119+SUM(E$99:E119)=D$92,F119,D$92-SUM(E$99:E119))</f>
        <v>910175</v>
      </c>
      <c r="E120" s="164">
        <f t="shared" si="14"/>
        <v>39349</v>
      </c>
      <c r="F120" s="163">
        <f t="shared" si="15"/>
        <v>870826</v>
      </c>
      <c r="G120" s="163">
        <f t="shared" si="16"/>
        <v>890500.5</v>
      </c>
      <c r="H120" s="167">
        <f t="shared" si="17"/>
        <v>130835.07362715388</v>
      </c>
      <c r="I120" s="317">
        <f t="shared" si="18"/>
        <v>130835.07362715388</v>
      </c>
      <c r="J120" s="162">
        <f t="shared" si="13"/>
        <v>0</v>
      </c>
      <c r="K120" s="162"/>
      <c r="L120" s="335"/>
      <c r="M120" s="162">
        <f t="shared" si="9"/>
        <v>0</v>
      </c>
      <c r="N120" s="335"/>
      <c r="O120" s="162">
        <f t="shared" si="10"/>
        <v>0</v>
      </c>
      <c r="P120" s="162">
        <f t="shared" si="11"/>
        <v>0</v>
      </c>
    </row>
    <row r="121" spans="2:16">
      <c r="B121" s="9" t="str">
        <f t="shared" si="12"/>
        <v/>
      </c>
      <c r="C121" s="157">
        <f>IF(D93="","-",+C120+1)</f>
        <v>2037</v>
      </c>
      <c r="D121" s="158">
        <f>IF(F120+SUM(E$99:E120)=D$92,F120,D$92-SUM(E$99:E120))</f>
        <v>870826</v>
      </c>
      <c r="E121" s="164">
        <f t="shared" si="14"/>
        <v>39349</v>
      </c>
      <c r="F121" s="163">
        <f t="shared" si="15"/>
        <v>831477</v>
      </c>
      <c r="G121" s="163">
        <f t="shared" si="16"/>
        <v>851151.5</v>
      </c>
      <c r="H121" s="167">
        <f t="shared" si="17"/>
        <v>126792.53180808148</v>
      </c>
      <c r="I121" s="317">
        <f t="shared" si="18"/>
        <v>126792.53180808148</v>
      </c>
      <c r="J121" s="162">
        <f t="shared" si="13"/>
        <v>0</v>
      </c>
      <c r="K121" s="162"/>
      <c r="L121" s="335"/>
      <c r="M121" s="162">
        <f t="shared" si="9"/>
        <v>0</v>
      </c>
      <c r="N121" s="335"/>
      <c r="O121" s="162">
        <f t="shared" si="10"/>
        <v>0</v>
      </c>
      <c r="P121" s="162">
        <f t="shared" si="11"/>
        <v>0</v>
      </c>
    </row>
    <row r="122" spans="2:16">
      <c r="B122" s="9" t="str">
        <f t="shared" si="12"/>
        <v/>
      </c>
      <c r="C122" s="157">
        <f>IF(D93="","-",+C121+1)</f>
        <v>2038</v>
      </c>
      <c r="D122" s="158">
        <f>IF(F121+SUM(E$99:E121)=D$92,F121,D$92-SUM(E$99:E121))</f>
        <v>831477</v>
      </c>
      <c r="E122" s="164">
        <f t="shared" si="14"/>
        <v>39349</v>
      </c>
      <c r="F122" s="163">
        <f t="shared" si="15"/>
        <v>792128</v>
      </c>
      <c r="G122" s="163">
        <f t="shared" si="16"/>
        <v>811802.5</v>
      </c>
      <c r="H122" s="167">
        <f t="shared" si="17"/>
        <v>122749.98998900909</v>
      </c>
      <c r="I122" s="317">
        <f t="shared" si="18"/>
        <v>122749.98998900909</v>
      </c>
      <c r="J122" s="162">
        <f t="shared" si="13"/>
        <v>0</v>
      </c>
      <c r="K122" s="162"/>
      <c r="L122" s="335"/>
      <c r="M122" s="162">
        <f t="shared" si="9"/>
        <v>0</v>
      </c>
      <c r="N122" s="335"/>
      <c r="O122" s="162">
        <f t="shared" si="10"/>
        <v>0</v>
      </c>
      <c r="P122" s="162">
        <f t="shared" si="11"/>
        <v>0</v>
      </c>
    </row>
    <row r="123" spans="2:16">
      <c r="B123" s="9" t="str">
        <f t="shared" si="12"/>
        <v/>
      </c>
      <c r="C123" s="157">
        <f>IF(D93="","-",+C122+1)</f>
        <v>2039</v>
      </c>
      <c r="D123" s="158">
        <f>IF(F122+SUM(E$99:E122)=D$92,F122,D$92-SUM(E$99:E122))</f>
        <v>792128</v>
      </c>
      <c r="E123" s="164">
        <f t="shared" si="14"/>
        <v>39349</v>
      </c>
      <c r="F123" s="163">
        <f t="shared" si="15"/>
        <v>752779</v>
      </c>
      <c r="G123" s="163">
        <f t="shared" si="16"/>
        <v>772453.5</v>
      </c>
      <c r="H123" s="167">
        <f t="shared" si="17"/>
        <v>118707.44816993669</v>
      </c>
      <c r="I123" s="317">
        <f t="shared" si="18"/>
        <v>118707.44816993669</v>
      </c>
      <c r="J123" s="162">
        <f t="shared" si="13"/>
        <v>0</v>
      </c>
      <c r="K123" s="162"/>
      <c r="L123" s="335"/>
      <c r="M123" s="162">
        <f t="shared" si="9"/>
        <v>0</v>
      </c>
      <c r="N123" s="335"/>
      <c r="O123" s="162">
        <f t="shared" si="10"/>
        <v>0</v>
      </c>
      <c r="P123" s="162">
        <f t="shared" si="11"/>
        <v>0</v>
      </c>
    </row>
    <row r="124" spans="2:16">
      <c r="B124" s="9" t="str">
        <f t="shared" si="12"/>
        <v/>
      </c>
      <c r="C124" s="157">
        <f>IF(D93="","-",+C123+1)</f>
        <v>2040</v>
      </c>
      <c r="D124" s="158">
        <f>IF(F123+SUM(E$99:E123)=D$92,F123,D$92-SUM(E$99:E123))</f>
        <v>752779</v>
      </c>
      <c r="E124" s="164">
        <f t="shared" si="14"/>
        <v>39349</v>
      </c>
      <c r="F124" s="163">
        <f t="shared" si="15"/>
        <v>713430</v>
      </c>
      <c r="G124" s="163">
        <f t="shared" si="16"/>
        <v>733104.5</v>
      </c>
      <c r="H124" s="167">
        <f t="shared" si="17"/>
        <v>114664.90635086429</v>
      </c>
      <c r="I124" s="317">
        <f t="shared" si="18"/>
        <v>114664.90635086429</v>
      </c>
      <c r="J124" s="162">
        <f t="shared" si="13"/>
        <v>0</v>
      </c>
      <c r="K124" s="162"/>
      <c r="L124" s="335"/>
      <c r="M124" s="162">
        <f t="shared" si="9"/>
        <v>0</v>
      </c>
      <c r="N124" s="335"/>
      <c r="O124" s="162">
        <f t="shared" si="10"/>
        <v>0</v>
      </c>
      <c r="P124" s="162">
        <f t="shared" si="11"/>
        <v>0</v>
      </c>
    </row>
    <row r="125" spans="2:16">
      <c r="B125" s="9" t="str">
        <f t="shared" si="12"/>
        <v/>
      </c>
      <c r="C125" s="157">
        <f>IF(D93="","-",+C124+1)</f>
        <v>2041</v>
      </c>
      <c r="D125" s="158">
        <f>IF(F124+SUM(E$99:E124)=D$92,F124,D$92-SUM(E$99:E124))</f>
        <v>713430</v>
      </c>
      <c r="E125" s="164">
        <f t="shared" si="14"/>
        <v>39349</v>
      </c>
      <c r="F125" s="163">
        <f t="shared" si="15"/>
        <v>674081</v>
      </c>
      <c r="G125" s="163">
        <f t="shared" si="16"/>
        <v>693755.5</v>
      </c>
      <c r="H125" s="167">
        <f t="shared" si="17"/>
        <v>110622.3645317919</v>
      </c>
      <c r="I125" s="317">
        <f t="shared" si="18"/>
        <v>110622.3645317919</v>
      </c>
      <c r="J125" s="162">
        <f t="shared" si="13"/>
        <v>0</v>
      </c>
      <c r="K125" s="162"/>
      <c r="L125" s="335"/>
      <c r="M125" s="162">
        <f t="shared" si="9"/>
        <v>0</v>
      </c>
      <c r="N125" s="335"/>
      <c r="O125" s="162">
        <f t="shared" si="10"/>
        <v>0</v>
      </c>
      <c r="P125" s="162">
        <f t="shared" si="11"/>
        <v>0</v>
      </c>
    </row>
    <row r="126" spans="2:16">
      <c r="B126" s="9" t="str">
        <f t="shared" si="12"/>
        <v/>
      </c>
      <c r="C126" s="157">
        <f>IF(D93="","-",+C125+1)</f>
        <v>2042</v>
      </c>
      <c r="D126" s="158">
        <f>IF(F125+SUM(E$99:E125)=D$92,F125,D$92-SUM(E$99:E125))</f>
        <v>674081</v>
      </c>
      <c r="E126" s="164">
        <f t="shared" si="14"/>
        <v>39349</v>
      </c>
      <c r="F126" s="163">
        <f t="shared" si="15"/>
        <v>634732</v>
      </c>
      <c r="G126" s="163">
        <f t="shared" si="16"/>
        <v>654406.5</v>
      </c>
      <c r="H126" s="167">
        <f t="shared" si="17"/>
        <v>106579.8227127195</v>
      </c>
      <c r="I126" s="317">
        <f t="shared" si="18"/>
        <v>106579.8227127195</v>
      </c>
      <c r="J126" s="162">
        <f t="shared" si="13"/>
        <v>0</v>
      </c>
      <c r="K126" s="162"/>
      <c r="L126" s="335"/>
      <c r="M126" s="162">
        <f t="shared" si="9"/>
        <v>0</v>
      </c>
      <c r="N126" s="335"/>
      <c r="O126" s="162">
        <f t="shared" si="10"/>
        <v>0</v>
      </c>
      <c r="P126" s="162">
        <f t="shared" si="11"/>
        <v>0</v>
      </c>
    </row>
    <row r="127" spans="2:16">
      <c r="B127" s="9" t="str">
        <f t="shared" si="12"/>
        <v/>
      </c>
      <c r="C127" s="157">
        <f>IF(D93="","-",+C126+1)</f>
        <v>2043</v>
      </c>
      <c r="D127" s="158">
        <f>IF(F126+SUM(E$99:E126)=D$92,F126,D$92-SUM(E$99:E126))</f>
        <v>634732</v>
      </c>
      <c r="E127" s="164">
        <f t="shared" si="14"/>
        <v>39349</v>
      </c>
      <c r="F127" s="163">
        <f t="shared" si="15"/>
        <v>595383</v>
      </c>
      <c r="G127" s="163">
        <f t="shared" si="16"/>
        <v>615057.5</v>
      </c>
      <c r="H127" s="167">
        <f t="shared" si="17"/>
        <v>102537.28089364711</v>
      </c>
      <c r="I127" s="317">
        <f t="shared" si="18"/>
        <v>102537.28089364711</v>
      </c>
      <c r="J127" s="162">
        <f t="shared" si="13"/>
        <v>0</v>
      </c>
      <c r="K127" s="162"/>
      <c r="L127" s="335"/>
      <c r="M127" s="162">
        <f t="shared" si="9"/>
        <v>0</v>
      </c>
      <c r="N127" s="335"/>
      <c r="O127" s="162">
        <f t="shared" si="10"/>
        <v>0</v>
      </c>
      <c r="P127" s="162">
        <f t="shared" si="11"/>
        <v>0</v>
      </c>
    </row>
    <row r="128" spans="2:16">
      <c r="B128" s="9" t="str">
        <f t="shared" si="12"/>
        <v/>
      </c>
      <c r="C128" s="157">
        <f>IF(D93="","-",+C127+1)</f>
        <v>2044</v>
      </c>
      <c r="D128" s="158">
        <f>IF(F127+SUM(E$99:E127)=D$92,F127,D$92-SUM(E$99:E127))</f>
        <v>595383</v>
      </c>
      <c r="E128" s="164">
        <f t="shared" si="14"/>
        <v>39349</v>
      </c>
      <c r="F128" s="163">
        <f t="shared" si="15"/>
        <v>556034</v>
      </c>
      <c r="G128" s="163">
        <f t="shared" si="16"/>
        <v>575708.5</v>
      </c>
      <c r="H128" s="167">
        <f t="shared" si="17"/>
        <v>98494.739074574711</v>
      </c>
      <c r="I128" s="317">
        <f t="shared" si="18"/>
        <v>98494.739074574711</v>
      </c>
      <c r="J128" s="162">
        <f t="shared" si="13"/>
        <v>0</v>
      </c>
      <c r="K128" s="162"/>
      <c r="L128" s="335"/>
      <c r="M128" s="162">
        <f t="shared" si="9"/>
        <v>0</v>
      </c>
      <c r="N128" s="335"/>
      <c r="O128" s="162">
        <f t="shared" si="10"/>
        <v>0</v>
      </c>
      <c r="P128" s="162">
        <f t="shared" si="11"/>
        <v>0</v>
      </c>
    </row>
    <row r="129" spans="2:16">
      <c r="B129" s="9" t="str">
        <f t="shared" si="12"/>
        <v/>
      </c>
      <c r="C129" s="157">
        <f>IF(D93="","-",+C128+1)</f>
        <v>2045</v>
      </c>
      <c r="D129" s="158">
        <f>IF(F128+SUM(E$99:E128)=D$92,F128,D$92-SUM(E$99:E128))</f>
        <v>556034</v>
      </c>
      <c r="E129" s="164">
        <f t="shared" si="14"/>
        <v>39349</v>
      </c>
      <c r="F129" s="163">
        <f t="shared" si="15"/>
        <v>516685</v>
      </c>
      <c r="G129" s="163">
        <f t="shared" si="16"/>
        <v>536359.5</v>
      </c>
      <c r="H129" s="167">
        <f t="shared" si="17"/>
        <v>94452.197255502309</v>
      </c>
      <c r="I129" s="317">
        <f t="shared" si="18"/>
        <v>94452.197255502309</v>
      </c>
      <c r="J129" s="162">
        <f t="shared" si="13"/>
        <v>0</v>
      </c>
      <c r="K129" s="162"/>
      <c r="L129" s="335"/>
      <c r="M129" s="162">
        <f t="shared" si="9"/>
        <v>0</v>
      </c>
      <c r="N129" s="335"/>
      <c r="O129" s="162">
        <f t="shared" si="10"/>
        <v>0</v>
      </c>
      <c r="P129" s="162">
        <f t="shared" si="11"/>
        <v>0</v>
      </c>
    </row>
    <row r="130" spans="2:16">
      <c r="B130" s="9" t="str">
        <f t="shared" si="12"/>
        <v/>
      </c>
      <c r="C130" s="157">
        <f>IF(D93="","-",+C129+1)</f>
        <v>2046</v>
      </c>
      <c r="D130" s="158">
        <f>IF(F129+SUM(E$99:E129)=D$92,F129,D$92-SUM(E$99:E129))</f>
        <v>516685</v>
      </c>
      <c r="E130" s="164">
        <f t="shared" si="14"/>
        <v>39349</v>
      </c>
      <c r="F130" s="163">
        <f t="shared" si="15"/>
        <v>477336</v>
      </c>
      <c r="G130" s="163">
        <f t="shared" si="16"/>
        <v>497010.5</v>
      </c>
      <c r="H130" s="167">
        <f t="shared" si="17"/>
        <v>90409.655436429923</v>
      </c>
      <c r="I130" s="317">
        <f t="shared" si="18"/>
        <v>90409.655436429923</v>
      </c>
      <c r="J130" s="162">
        <f t="shared" si="13"/>
        <v>0</v>
      </c>
      <c r="K130" s="162"/>
      <c r="L130" s="335"/>
      <c r="M130" s="162">
        <f t="shared" si="9"/>
        <v>0</v>
      </c>
      <c r="N130" s="335"/>
      <c r="O130" s="162">
        <f t="shared" si="10"/>
        <v>0</v>
      </c>
      <c r="P130" s="162">
        <f t="shared" si="11"/>
        <v>0</v>
      </c>
    </row>
    <row r="131" spans="2:16">
      <c r="B131" s="9" t="str">
        <f t="shared" si="12"/>
        <v/>
      </c>
      <c r="C131" s="157">
        <f>IF(D93="","-",+C130+1)</f>
        <v>2047</v>
      </c>
      <c r="D131" s="158">
        <f>IF(F130+SUM(E$99:E130)=D$92,F130,D$92-SUM(E$99:E130))</f>
        <v>477336</v>
      </c>
      <c r="E131" s="164">
        <f t="shared" si="14"/>
        <v>39349</v>
      </c>
      <c r="F131" s="163">
        <f t="shared" si="15"/>
        <v>437987</v>
      </c>
      <c r="G131" s="163">
        <f t="shared" si="16"/>
        <v>457661.5</v>
      </c>
      <c r="H131" s="167">
        <f t="shared" si="17"/>
        <v>86367.113617357521</v>
      </c>
      <c r="I131" s="317">
        <f t="shared" si="18"/>
        <v>86367.113617357521</v>
      </c>
      <c r="J131" s="162">
        <f t="shared" si="13"/>
        <v>0</v>
      </c>
      <c r="K131" s="162"/>
      <c r="L131" s="335"/>
      <c r="M131" s="162">
        <f t="shared" ref="M131:M154" si="19">IF(L541&lt;&gt;0,+H541-L541,0)</f>
        <v>0</v>
      </c>
      <c r="N131" s="335"/>
      <c r="O131" s="162">
        <f t="shared" ref="O131:O154" si="20">IF(N541&lt;&gt;0,+I541-N541,0)</f>
        <v>0</v>
      </c>
      <c r="P131" s="162">
        <f t="shared" ref="P131:P154" si="21">+O541-M541</f>
        <v>0</v>
      </c>
    </row>
    <row r="132" spans="2:16">
      <c r="B132" s="9" t="str">
        <f t="shared" si="12"/>
        <v/>
      </c>
      <c r="C132" s="157">
        <f>IF(D93="","-",+C131+1)</f>
        <v>2048</v>
      </c>
      <c r="D132" s="158">
        <f>IF(F131+SUM(E$99:E131)=D$92,F131,D$92-SUM(E$99:E131))</f>
        <v>437987</v>
      </c>
      <c r="E132" s="164">
        <f t="shared" si="14"/>
        <v>39349</v>
      </c>
      <c r="F132" s="163">
        <f t="shared" si="15"/>
        <v>398638</v>
      </c>
      <c r="G132" s="163">
        <f t="shared" si="16"/>
        <v>418312.5</v>
      </c>
      <c r="H132" s="167">
        <f t="shared" si="17"/>
        <v>82324.57179828512</v>
      </c>
      <c r="I132" s="317">
        <f t="shared" si="18"/>
        <v>82324.57179828512</v>
      </c>
      <c r="J132" s="162">
        <f t="shared" si="13"/>
        <v>0</v>
      </c>
      <c r="K132" s="162"/>
      <c r="L132" s="335"/>
      <c r="M132" s="162">
        <f t="shared" si="19"/>
        <v>0</v>
      </c>
      <c r="N132" s="335"/>
      <c r="O132" s="162">
        <f t="shared" si="20"/>
        <v>0</v>
      </c>
      <c r="P132" s="162">
        <f t="shared" si="21"/>
        <v>0</v>
      </c>
    </row>
    <row r="133" spans="2:16">
      <c r="B133" s="9" t="str">
        <f t="shared" si="12"/>
        <v/>
      </c>
      <c r="C133" s="157">
        <f>IF(D93="","-",+C132+1)</f>
        <v>2049</v>
      </c>
      <c r="D133" s="158">
        <f>IF(F132+SUM(E$99:E132)=D$92,F132,D$92-SUM(E$99:E132))</f>
        <v>398638</v>
      </c>
      <c r="E133" s="164">
        <f t="shared" si="14"/>
        <v>39349</v>
      </c>
      <c r="F133" s="163">
        <f t="shared" si="15"/>
        <v>359289</v>
      </c>
      <c r="G133" s="163">
        <f t="shared" si="16"/>
        <v>378963.5</v>
      </c>
      <c r="H133" s="167">
        <f t="shared" si="17"/>
        <v>78282.029979212733</v>
      </c>
      <c r="I133" s="317">
        <f t="shared" si="18"/>
        <v>78282.029979212733</v>
      </c>
      <c r="J133" s="162">
        <f t="shared" si="13"/>
        <v>0</v>
      </c>
      <c r="K133" s="162"/>
      <c r="L133" s="335"/>
      <c r="M133" s="162">
        <f t="shared" si="19"/>
        <v>0</v>
      </c>
      <c r="N133" s="335"/>
      <c r="O133" s="162">
        <f t="shared" si="20"/>
        <v>0</v>
      </c>
      <c r="P133" s="162">
        <f t="shared" si="21"/>
        <v>0</v>
      </c>
    </row>
    <row r="134" spans="2:16">
      <c r="B134" s="9" t="str">
        <f t="shared" si="12"/>
        <v/>
      </c>
      <c r="C134" s="157">
        <f>IF(D93="","-",+C133+1)</f>
        <v>2050</v>
      </c>
      <c r="D134" s="158">
        <f>IF(F133+SUM(E$99:E133)=D$92,F133,D$92-SUM(E$99:E133))</f>
        <v>359289</v>
      </c>
      <c r="E134" s="164">
        <f t="shared" si="14"/>
        <v>39349</v>
      </c>
      <c r="F134" s="163">
        <f t="shared" si="15"/>
        <v>319940</v>
      </c>
      <c r="G134" s="163">
        <f t="shared" si="16"/>
        <v>339614.5</v>
      </c>
      <c r="H134" s="167">
        <f t="shared" si="17"/>
        <v>74239.488160140347</v>
      </c>
      <c r="I134" s="317">
        <f t="shared" si="18"/>
        <v>74239.488160140347</v>
      </c>
      <c r="J134" s="162">
        <f t="shared" si="13"/>
        <v>0</v>
      </c>
      <c r="K134" s="162"/>
      <c r="L134" s="335"/>
      <c r="M134" s="162">
        <f t="shared" si="19"/>
        <v>0</v>
      </c>
      <c r="N134" s="335"/>
      <c r="O134" s="162">
        <f t="shared" si="20"/>
        <v>0</v>
      </c>
      <c r="P134" s="162">
        <f t="shared" si="21"/>
        <v>0</v>
      </c>
    </row>
    <row r="135" spans="2:16">
      <c r="B135" s="9" t="str">
        <f t="shared" si="12"/>
        <v/>
      </c>
      <c r="C135" s="157">
        <f>IF(D93="","-",+C134+1)</f>
        <v>2051</v>
      </c>
      <c r="D135" s="158">
        <f>IF(F134+SUM(E$99:E134)=D$92,F134,D$92-SUM(E$99:E134))</f>
        <v>319940</v>
      </c>
      <c r="E135" s="164">
        <f t="shared" si="14"/>
        <v>39349</v>
      </c>
      <c r="F135" s="163">
        <f t="shared" si="15"/>
        <v>280591</v>
      </c>
      <c r="G135" s="163">
        <f t="shared" si="16"/>
        <v>300265.5</v>
      </c>
      <c r="H135" s="167">
        <f t="shared" si="17"/>
        <v>70196.946341067945</v>
      </c>
      <c r="I135" s="317">
        <f t="shared" si="18"/>
        <v>70196.946341067945</v>
      </c>
      <c r="J135" s="162">
        <f t="shared" si="13"/>
        <v>0</v>
      </c>
      <c r="K135" s="162"/>
      <c r="L135" s="335"/>
      <c r="M135" s="162">
        <f t="shared" si="19"/>
        <v>0</v>
      </c>
      <c r="N135" s="335"/>
      <c r="O135" s="162">
        <f t="shared" si="20"/>
        <v>0</v>
      </c>
      <c r="P135" s="162">
        <f t="shared" si="21"/>
        <v>0</v>
      </c>
    </row>
    <row r="136" spans="2:16">
      <c r="B136" s="9" t="str">
        <f t="shared" si="12"/>
        <v/>
      </c>
      <c r="C136" s="157">
        <f>IF(D93="","-",+C135+1)</f>
        <v>2052</v>
      </c>
      <c r="D136" s="158">
        <f>IF(F135+SUM(E$99:E135)=D$92,F135,D$92-SUM(E$99:E135))</f>
        <v>280591</v>
      </c>
      <c r="E136" s="164">
        <f t="shared" si="14"/>
        <v>39349</v>
      </c>
      <c r="F136" s="163">
        <f t="shared" si="15"/>
        <v>241242</v>
      </c>
      <c r="G136" s="163">
        <f t="shared" si="16"/>
        <v>260916.5</v>
      </c>
      <c r="H136" s="167">
        <f t="shared" si="17"/>
        <v>66154.404521995544</v>
      </c>
      <c r="I136" s="317">
        <f t="shared" si="18"/>
        <v>66154.404521995544</v>
      </c>
      <c r="J136" s="162">
        <f t="shared" si="13"/>
        <v>0</v>
      </c>
      <c r="K136" s="162"/>
      <c r="L136" s="335"/>
      <c r="M136" s="162">
        <f t="shared" si="19"/>
        <v>0</v>
      </c>
      <c r="N136" s="335"/>
      <c r="O136" s="162">
        <f t="shared" si="20"/>
        <v>0</v>
      </c>
      <c r="P136" s="162">
        <f t="shared" si="21"/>
        <v>0</v>
      </c>
    </row>
    <row r="137" spans="2:16">
      <c r="B137" s="9" t="str">
        <f t="shared" si="12"/>
        <v/>
      </c>
      <c r="C137" s="157">
        <f>IF(D93="","-",+C136+1)</f>
        <v>2053</v>
      </c>
      <c r="D137" s="158">
        <f>IF(F136+SUM(E$99:E136)=D$92,F136,D$92-SUM(E$99:E136))</f>
        <v>241242</v>
      </c>
      <c r="E137" s="164">
        <f t="shared" si="14"/>
        <v>39349</v>
      </c>
      <c r="F137" s="163">
        <f t="shared" si="15"/>
        <v>201893</v>
      </c>
      <c r="G137" s="163">
        <f t="shared" si="16"/>
        <v>221567.5</v>
      </c>
      <c r="H137" s="167">
        <f t="shared" si="17"/>
        <v>62111.86270292315</v>
      </c>
      <c r="I137" s="317">
        <f t="shared" si="18"/>
        <v>62111.86270292315</v>
      </c>
      <c r="J137" s="162">
        <f t="shared" si="13"/>
        <v>0</v>
      </c>
      <c r="K137" s="162"/>
      <c r="L137" s="335"/>
      <c r="M137" s="162">
        <f t="shared" si="19"/>
        <v>0</v>
      </c>
      <c r="N137" s="335"/>
      <c r="O137" s="162">
        <f t="shared" si="20"/>
        <v>0</v>
      </c>
      <c r="P137" s="162">
        <f t="shared" si="21"/>
        <v>0</v>
      </c>
    </row>
    <row r="138" spans="2:16">
      <c r="B138" s="9" t="str">
        <f t="shared" si="12"/>
        <v/>
      </c>
      <c r="C138" s="157">
        <f>IF(D93="","-",+C137+1)</f>
        <v>2054</v>
      </c>
      <c r="D138" s="158">
        <f>IF(F137+SUM(E$99:E137)=D$92,F137,D$92-SUM(E$99:E137))</f>
        <v>201893</v>
      </c>
      <c r="E138" s="164">
        <f t="shared" si="14"/>
        <v>39349</v>
      </c>
      <c r="F138" s="163">
        <f t="shared" si="15"/>
        <v>162544</v>
      </c>
      <c r="G138" s="163">
        <f t="shared" si="16"/>
        <v>182218.5</v>
      </c>
      <c r="H138" s="167">
        <f t="shared" si="17"/>
        <v>58069.320883850756</v>
      </c>
      <c r="I138" s="317">
        <f t="shared" si="18"/>
        <v>58069.320883850756</v>
      </c>
      <c r="J138" s="162">
        <f t="shared" si="13"/>
        <v>0</v>
      </c>
      <c r="K138" s="162"/>
      <c r="L138" s="335"/>
      <c r="M138" s="162">
        <f t="shared" si="19"/>
        <v>0</v>
      </c>
      <c r="N138" s="335"/>
      <c r="O138" s="162">
        <f t="shared" si="20"/>
        <v>0</v>
      </c>
      <c r="P138" s="162">
        <f t="shared" si="21"/>
        <v>0</v>
      </c>
    </row>
    <row r="139" spans="2:16">
      <c r="B139" s="9" t="str">
        <f t="shared" si="12"/>
        <v/>
      </c>
      <c r="C139" s="157">
        <f>IF(D93="","-",+C138+1)</f>
        <v>2055</v>
      </c>
      <c r="D139" s="158">
        <f>IF(F138+SUM(E$99:E138)=D$92,F138,D$92-SUM(E$99:E138))</f>
        <v>162544</v>
      </c>
      <c r="E139" s="164">
        <f t="shared" si="14"/>
        <v>39349</v>
      </c>
      <c r="F139" s="163">
        <f t="shared" si="15"/>
        <v>123195</v>
      </c>
      <c r="G139" s="163">
        <f t="shared" si="16"/>
        <v>142869.5</v>
      </c>
      <c r="H139" s="167">
        <f t="shared" si="17"/>
        <v>54026.779064778355</v>
      </c>
      <c r="I139" s="317">
        <f t="shared" si="18"/>
        <v>54026.779064778355</v>
      </c>
      <c r="J139" s="162">
        <f t="shared" si="13"/>
        <v>0</v>
      </c>
      <c r="K139" s="162"/>
      <c r="L139" s="335"/>
      <c r="M139" s="162">
        <f t="shared" si="19"/>
        <v>0</v>
      </c>
      <c r="N139" s="335"/>
      <c r="O139" s="162">
        <f t="shared" si="20"/>
        <v>0</v>
      </c>
      <c r="P139" s="162">
        <f t="shared" si="21"/>
        <v>0</v>
      </c>
    </row>
    <row r="140" spans="2:16">
      <c r="B140" s="9" t="str">
        <f t="shared" si="12"/>
        <v/>
      </c>
      <c r="C140" s="157">
        <f>IF(D93="","-",+C139+1)</f>
        <v>2056</v>
      </c>
      <c r="D140" s="158">
        <f>IF(F139+SUM(E$99:E139)=D$92,F139,D$92-SUM(E$99:E139))</f>
        <v>123195</v>
      </c>
      <c r="E140" s="164">
        <f t="shared" si="14"/>
        <v>39349</v>
      </c>
      <c r="F140" s="163">
        <f t="shared" si="15"/>
        <v>83846</v>
      </c>
      <c r="G140" s="163">
        <f t="shared" si="16"/>
        <v>103520.5</v>
      </c>
      <c r="H140" s="167">
        <f t="shared" si="17"/>
        <v>49984.237245705961</v>
      </c>
      <c r="I140" s="317">
        <f t="shared" si="18"/>
        <v>49984.237245705961</v>
      </c>
      <c r="J140" s="162">
        <f t="shared" si="13"/>
        <v>0</v>
      </c>
      <c r="K140" s="162"/>
      <c r="L140" s="335"/>
      <c r="M140" s="162">
        <f t="shared" si="19"/>
        <v>0</v>
      </c>
      <c r="N140" s="335"/>
      <c r="O140" s="162">
        <f t="shared" si="20"/>
        <v>0</v>
      </c>
      <c r="P140" s="162">
        <f t="shared" si="21"/>
        <v>0</v>
      </c>
    </row>
    <row r="141" spans="2:16">
      <c r="B141" s="9" t="str">
        <f t="shared" si="12"/>
        <v/>
      </c>
      <c r="C141" s="157">
        <f>IF(D93="","-",+C140+1)</f>
        <v>2057</v>
      </c>
      <c r="D141" s="158">
        <f>IF(F140+SUM(E$99:E140)=D$92,F140,D$92-SUM(E$99:E140))</f>
        <v>83846</v>
      </c>
      <c r="E141" s="164">
        <f t="shared" si="14"/>
        <v>39349</v>
      </c>
      <c r="F141" s="163">
        <f t="shared" si="15"/>
        <v>44497</v>
      </c>
      <c r="G141" s="163">
        <f t="shared" si="16"/>
        <v>64171.5</v>
      </c>
      <c r="H141" s="167">
        <f t="shared" si="17"/>
        <v>45941.695426633567</v>
      </c>
      <c r="I141" s="317">
        <f t="shared" si="18"/>
        <v>45941.695426633567</v>
      </c>
      <c r="J141" s="162">
        <f t="shared" si="13"/>
        <v>0</v>
      </c>
      <c r="K141" s="162"/>
      <c r="L141" s="335"/>
      <c r="M141" s="162">
        <f t="shared" si="19"/>
        <v>0</v>
      </c>
      <c r="N141" s="335"/>
      <c r="O141" s="162">
        <f t="shared" si="20"/>
        <v>0</v>
      </c>
      <c r="P141" s="162">
        <f t="shared" si="21"/>
        <v>0</v>
      </c>
    </row>
    <row r="142" spans="2:16">
      <c r="B142" s="9" t="str">
        <f t="shared" si="12"/>
        <v/>
      </c>
      <c r="C142" s="157">
        <f>IF(D93="","-",+C141+1)</f>
        <v>2058</v>
      </c>
      <c r="D142" s="158">
        <f>IF(F141+SUM(E$99:E141)=D$92,F141,D$92-SUM(E$99:E141))</f>
        <v>44497</v>
      </c>
      <c r="E142" s="164">
        <f t="shared" si="14"/>
        <v>39349</v>
      </c>
      <c r="F142" s="163">
        <f t="shared" si="15"/>
        <v>5148</v>
      </c>
      <c r="G142" s="163">
        <f t="shared" si="16"/>
        <v>24822.5</v>
      </c>
      <c r="H142" s="167">
        <f t="shared" si="17"/>
        <v>41899.153607561173</v>
      </c>
      <c r="I142" s="317">
        <f t="shared" si="18"/>
        <v>41899.153607561173</v>
      </c>
      <c r="J142" s="162">
        <f t="shared" si="13"/>
        <v>0</v>
      </c>
      <c r="K142" s="162"/>
      <c r="L142" s="335"/>
      <c r="M142" s="162">
        <f t="shared" si="19"/>
        <v>0</v>
      </c>
      <c r="N142" s="335"/>
      <c r="O142" s="162">
        <f t="shared" si="20"/>
        <v>0</v>
      </c>
      <c r="P142" s="162">
        <f t="shared" si="21"/>
        <v>0</v>
      </c>
    </row>
    <row r="143" spans="2:16">
      <c r="B143" s="9" t="str">
        <f t="shared" si="12"/>
        <v/>
      </c>
      <c r="C143" s="157">
        <f>IF(D93="","-",+C142+1)</f>
        <v>2059</v>
      </c>
      <c r="D143" s="158">
        <f>IF(F142+SUM(E$99:E142)=D$92,F142,D$92-SUM(E$99:E142))</f>
        <v>5148</v>
      </c>
      <c r="E143" s="164">
        <f t="shared" si="14"/>
        <v>5148</v>
      </c>
      <c r="F143" s="163">
        <f t="shared" si="15"/>
        <v>0</v>
      </c>
      <c r="G143" s="163">
        <f t="shared" si="16"/>
        <v>2574</v>
      </c>
      <c r="H143" s="167">
        <f t="shared" si="17"/>
        <v>5412.4413490124871</v>
      </c>
      <c r="I143" s="317">
        <f t="shared" si="18"/>
        <v>5412.4413490124871</v>
      </c>
      <c r="J143" s="162">
        <f t="shared" si="13"/>
        <v>0</v>
      </c>
      <c r="K143" s="162"/>
      <c r="L143" s="335"/>
      <c r="M143" s="162">
        <f t="shared" si="19"/>
        <v>0</v>
      </c>
      <c r="N143" s="335"/>
      <c r="O143" s="162">
        <f t="shared" si="20"/>
        <v>0</v>
      </c>
      <c r="P143" s="162">
        <f t="shared" si="21"/>
        <v>0</v>
      </c>
    </row>
    <row r="144" spans="2:16">
      <c r="B144" s="9" t="str">
        <f t="shared" si="12"/>
        <v/>
      </c>
      <c r="C144" s="157">
        <f>IF(D93="","-",+C143+1)</f>
        <v>2060</v>
      </c>
      <c r="D144" s="158">
        <f>IF(F143+SUM(E$99:E143)=D$92,F143,D$92-SUM(E$99:E143))</f>
        <v>0</v>
      </c>
      <c r="E144" s="164">
        <f t="shared" si="14"/>
        <v>0</v>
      </c>
      <c r="F144" s="163">
        <f t="shared" si="15"/>
        <v>0</v>
      </c>
      <c r="G144" s="163">
        <f t="shared" si="16"/>
        <v>0</v>
      </c>
      <c r="H144" s="167">
        <f t="shared" si="17"/>
        <v>0</v>
      </c>
      <c r="I144" s="317">
        <f t="shared" si="18"/>
        <v>0</v>
      </c>
      <c r="J144" s="162">
        <f t="shared" si="13"/>
        <v>0</v>
      </c>
      <c r="K144" s="162"/>
      <c r="L144" s="335"/>
      <c r="M144" s="162">
        <f t="shared" si="19"/>
        <v>0</v>
      </c>
      <c r="N144" s="335"/>
      <c r="O144" s="162">
        <f t="shared" si="20"/>
        <v>0</v>
      </c>
      <c r="P144" s="162">
        <f t="shared" si="21"/>
        <v>0</v>
      </c>
    </row>
    <row r="145" spans="2:16">
      <c r="B145" s="9" t="str">
        <f t="shared" si="12"/>
        <v/>
      </c>
      <c r="C145" s="157">
        <f>IF(D93="","-",+C144+1)</f>
        <v>2061</v>
      </c>
      <c r="D145" s="158">
        <f>IF(F144+SUM(E$99:E144)=D$92,F144,D$92-SUM(E$99:E144))</f>
        <v>0</v>
      </c>
      <c r="E145" s="164">
        <f t="shared" si="14"/>
        <v>0</v>
      </c>
      <c r="F145" s="163">
        <f t="shared" si="15"/>
        <v>0</v>
      </c>
      <c r="G145" s="163">
        <f t="shared" si="16"/>
        <v>0</v>
      </c>
      <c r="H145" s="167">
        <f t="shared" si="17"/>
        <v>0</v>
      </c>
      <c r="I145" s="317">
        <f t="shared" si="18"/>
        <v>0</v>
      </c>
      <c r="J145" s="162">
        <f t="shared" si="13"/>
        <v>0</v>
      </c>
      <c r="K145" s="162"/>
      <c r="L145" s="335"/>
      <c r="M145" s="162">
        <f t="shared" si="19"/>
        <v>0</v>
      </c>
      <c r="N145" s="335"/>
      <c r="O145" s="162">
        <f t="shared" si="20"/>
        <v>0</v>
      </c>
      <c r="P145" s="162">
        <f t="shared" si="21"/>
        <v>0</v>
      </c>
    </row>
    <row r="146" spans="2:16">
      <c r="B146" s="9" t="str">
        <f t="shared" si="12"/>
        <v/>
      </c>
      <c r="C146" s="157">
        <f>IF(D93="","-",+C145+1)</f>
        <v>2062</v>
      </c>
      <c r="D146" s="158">
        <f>IF(F145+SUM(E$99:E145)=D$92,F145,D$92-SUM(E$99:E145))</f>
        <v>0</v>
      </c>
      <c r="E146" s="164">
        <f t="shared" si="14"/>
        <v>0</v>
      </c>
      <c r="F146" s="163">
        <f t="shared" si="15"/>
        <v>0</v>
      </c>
      <c r="G146" s="163">
        <f t="shared" si="16"/>
        <v>0</v>
      </c>
      <c r="H146" s="167">
        <f t="shared" si="17"/>
        <v>0</v>
      </c>
      <c r="I146" s="317">
        <f t="shared" si="18"/>
        <v>0</v>
      </c>
      <c r="J146" s="162">
        <f t="shared" si="13"/>
        <v>0</v>
      </c>
      <c r="K146" s="162"/>
      <c r="L146" s="335"/>
      <c r="M146" s="162">
        <f t="shared" si="19"/>
        <v>0</v>
      </c>
      <c r="N146" s="335"/>
      <c r="O146" s="162">
        <f t="shared" si="20"/>
        <v>0</v>
      </c>
      <c r="P146" s="162">
        <f t="shared" si="21"/>
        <v>0</v>
      </c>
    </row>
    <row r="147" spans="2:16">
      <c r="B147" s="9" t="str">
        <f t="shared" si="12"/>
        <v/>
      </c>
      <c r="C147" s="157">
        <f>IF(D93="","-",+C146+1)</f>
        <v>2063</v>
      </c>
      <c r="D147" s="158">
        <f>IF(F146+SUM(E$99:E146)=D$92,F146,D$92-SUM(E$99:E146))</f>
        <v>0</v>
      </c>
      <c r="E147" s="164">
        <f t="shared" si="14"/>
        <v>0</v>
      </c>
      <c r="F147" s="163">
        <f t="shared" si="15"/>
        <v>0</v>
      </c>
      <c r="G147" s="163">
        <f t="shared" si="16"/>
        <v>0</v>
      </c>
      <c r="H147" s="167">
        <f t="shared" si="17"/>
        <v>0</v>
      </c>
      <c r="I147" s="317">
        <f t="shared" si="18"/>
        <v>0</v>
      </c>
      <c r="J147" s="162">
        <f t="shared" si="13"/>
        <v>0</v>
      </c>
      <c r="K147" s="162"/>
      <c r="L147" s="335"/>
      <c r="M147" s="162">
        <f t="shared" si="19"/>
        <v>0</v>
      </c>
      <c r="N147" s="335"/>
      <c r="O147" s="162">
        <f t="shared" si="20"/>
        <v>0</v>
      </c>
      <c r="P147" s="162">
        <f t="shared" si="21"/>
        <v>0</v>
      </c>
    </row>
    <row r="148" spans="2:16">
      <c r="B148" s="9" t="str">
        <f t="shared" si="12"/>
        <v/>
      </c>
      <c r="C148" s="157">
        <f>IF(D93="","-",+C147+1)</f>
        <v>2064</v>
      </c>
      <c r="D148" s="158">
        <f>IF(F147+SUM(E$99:E147)=D$92,F147,D$92-SUM(E$99:E147))</f>
        <v>0</v>
      </c>
      <c r="E148" s="164">
        <f t="shared" si="14"/>
        <v>0</v>
      </c>
      <c r="F148" s="163">
        <f t="shared" si="15"/>
        <v>0</v>
      </c>
      <c r="G148" s="163">
        <f t="shared" si="16"/>
        <v>0</v>
      </c>
      <c r="H148" s="167">
        <f t="shared" si="17"/>
        <v>0</v>
      </c>
      <c r="I148" s="317">
        <f t="shared" si="18"/>
        <v>0</v>
      </c>
      <c r="J148" s="162">
        <f t="shared" si="13"/>
        <v>0</v>
      </c>
      <c r="K148" s="162"/>
      <c r="L148" s="335"/>
      <c r="M148" s="162">
        <f t="shared" si="19"/>
        <v>0</v>
      </c>
      <c r="N148" s="335"/>
      <c r="O148" s="162">
        <f t="shared" si="20"/>
        <v>0</v>
      </c>
      <c r="P148" s="162">
        <f t="shared" si="21"/>
        <v>0</v>
      </c>
    </row>
    <row r="149" spans="2:16">
      <c r="B149" s="9" t="str">
        <f t="shared" si="12"/>
        <v/>
      </c>
      <c r="C149" s="157">
        <f>IF(D93="","-",+C148+1)</f>
        <v>2065</v>
      </c>
      <c r="D149" s="158">
        <f>IF(F148+SUM(E$99:E148)=D$92,F148,D$92-SUM(E$99:E148))</f>
        <v>0</v>
      </c>
      <c r="E149" s="164">
        <f t="shared" si="14"/>
        <v>0</v>
      </c>
      <c r="F149" s="163">
        <f t="shared" si="15"/>
        <v>0</v>
      </c>
      <c r="G149" s="163">
        <f t="shared" si="16"/>
        <v>0</v>
      </c>
      <c r="H149" s="167">
        <f t="shared" si="17"/>
        <v>0</v>
      </c>
      <c r="I149" s="317">
        <f t="shared" si="18"/>
        <v>0</v>
      </c>
      <c r="J149" s="162">
        <f t="shared" si="13"/>
        <v>0</v>
      </c>
      <c r="K149" s="162"/>
      <c r="L149" s="335"/>
      <c r="M149" s="162">
        <f t="shared" si="19"/>
        <v>0</v>
      </c>
      <c r="N149" s="335"/>
      <c r="O149" s="162">
        <f t="shared" si="20"/>
        <v>0</v>
      </c>
      <c r="P149" s="162">
        <f t="shared" si="21"/>
        <v>0</v>
      </c>
    </row>
    <row r="150" spans="2:16">
      <c r="B150" s="9" t="str">
        <f t="shared" si="12"/>
        <v/>
      </c>
      <c r="C150" s="157">
        <f>IF(D93="","-",+C149+1)</f>
        <v>2066</v>
      </c>
      <c r="D150" s="158">
        <f>IF(F149+SUM(E$99:E149)=D$92,F149,D$92-SUM(E$99:E149))</f>
        <v>0</v>
      </c>
      <c r="E150" s="164">
        <f t="shared" si="14"/>
        <v>0</v>
      </c>
      <c r="F150" s="163">
        <f t="shared" si="15"/>
        <v>0</v>
      </c>
      <c r="G150" s="163">
        <f t="shared" si="16"/>
        <v>0</v>
      </c>
      <c r="H150" s="167">
        <f t="shared" si="17"/>
        <v>0</v>
      </c>
      <c r="I150" s="317">
        <f t="shared" si="18"/>
        <v>0</v>
      </c>
      <c r="J150" s="162">
        <f t="shared" si="13"/>
        <v>0</v>
      </c>
      <c r="K150" s="162"/>
      <c r="L150" s="335"/>
      <c r="M150" s="162">
        <f t="shared" si="19"/>
        <v>0</v>
      </c>
      <c r="N150" s="335"/>
      <c r="O150" s="162">
        <f t="shared" si="20"/>
        <v>0</v>
      </c>
      <c r="P150" s="162">
        <f t="shared" si="21"/>
        <v>0</v>
      </c>
    </row>
    <row r="151" spans="2:16">
      <c r="B151" s="9" t="str">
        <f t="shared" si="12"/>
        <v/>
      </c>
      <c r="C151" s="157">
        <f>IF(D93="","-",+C150+1)</f>
        <v>2067</v>
      </c>
      <c r="D151" s="158">
        <f>IF(F150+SUM(E$99:E150)=D$92,F150,D$92-SUM(E$99:E150))</f>
        <v>0</v>
      </c>
      <c r="E151" s="164">
        <f t="shared" si="14"/>
        <v>0</v>
      </c>
      <c r="F151" s="163">
        <f t="shared" si="15"/>
        <v>0</v>
      </c>
      <c r="G151" s="163">
        <f t="shared" si="16"/>
        <v>0</v>
      </c>
      <c r="H151" s="167">
        <f t="shared" si="17"/>
        <v>0</v>
      </c>
      <c r="I151" s="317">
        <f t="shared" si="18"/>
        <v>0</v>
      </c>
      <c r="J151" s="162">
        <f t="shared" si="13"/>
        <v>0</v>
      </c>
      <c r="K151" s="162"/>
      <c r="L151" s="335"/>
      <c r="M151" s="162">
        <f t="shared" si="19"/>
        <v>0</v>
      </c>
      <c r="N151" s="335"/>
      <c r="O151" s="162">
        <f t="shared" si="20"/>
        <v>0</v>
      </c>
      <c r="P151" s="162">
        <f t="shared" si="21"/>
        <v>0</v>
      </c>
    </row>
    <row r="152" spans="2:16">
      <c r="B152" s="9" t="str">
        <f t="shared" si="12"/>
        <v/>
      </c>
      <c r="C152" s="157">
        <f>IF(D93="","-",+C151+1)</f>
        <v>2068</v>
      </c>
      <c r="D152" s="158">
        <f>IF(F151+SUM(E$99:E151)=D$92,F151,D$92-SUM(E$99:E151))</f>
        <v>0</v>
      </c>
      <c r="E152" s="164">
        <f t="shared" si="14"/>
        <v>0</v>
      </c>
      <c r="F152" s="163">
        <f t="shared" si="15"/>
        <v>0</v>
      </c>
      <c r="G152" s="163">
        <f t="shared" si="16"/>
        <v>0</v>
      </c>
      <c r="H152" s="167">
        <f t="shared" si="17"/>
        <v>0</v>
      </c>
      <c r="I152" s="317">
        <f t="shared" si="18"/>
        <v>0</v>
      </c>
      <c r="J152" s="162">
        <f t="shared" si="13"/>
        <v>0</v>
      </c>
      <c r="K152" s="162"/>
      <c r="L152" s="335"/>
      <c r="M152" s="162">
        <f t="shared" si="19"/>
        <v>0</v>
      </c>
      <c r="N152" s="335"/>
      <c r="O152" s="162">
        <f t="shared" si="20"/>
        <v>0</v>
      </c>
      <c r="P152" s="162">
        <f t="shared" si="21"/>
        <v>0</v>
      </c>
    </row>
    <row r="153" spans="2:16">
      <c r="B153" s="9" t="str">
        <f t="shared" si="12"/>
        <v/>
      </c>
      <c r="C153" s="157">
        <f>IF(D93="","-",+C152+1)</f>
        <v>2069</v>
      </c>
      <c r="D153" s="158">
        <f>IF(F152+SUM(E$99:E152)=D$92,F152,D$92-SUM(E$99:E152))</f>
        <v>0</v>
      </c>
      <c r="E153" s="164">
        <f t="shared" si="14"/>
        <v>0</v>
      </c>
      <c r="F153" s="163">
        <f t="shared" si="15"/>
        <v>0</v>
      </c>
      <c r="G153" s="163">
        <f t="shared" si="16"/>
        <v>0</v>
      </c>
      <c r="H153" s="167">
        <f t="shared" si="17"/>
        <v>0</v>
      </c>
      <c r="I153" s="317">
        <f t="shared" si="18"/>
        <v>0</v>
      </c>
      <c r="J153" s="162">
        <f t="shared" si="13"/>
        <v>0</v>
      </c>
      <c r="K153" s="162"/>
      <c r="L153" s="335"/>
      <c r="M153" s="162">
        <f t="shared" si="19"/>
        <v>0</v>
      </c>
      <c r="N153" s="335"/>
      <c r="O153" s="162">
        <f t="shared" si="20"/>
        <v>0</v>
      </c>
      <c r="P153" s="162">
        <f t="shared" si="21"/>
        <v>0</v>
      </c>
    </row>
    <row r="154" spans="2:16" ht="13.5" thickBot="1">
      <c r="B154" s="9" t="str">
        <f t="shared" si="12"/>
        <v/>
      </c>
      <c r="C154" s="168">
        <f>IF(D93="","-",+C153+1)</f>
        <v>2070</v>
      </c>
      <c r="D154" s="388">
        <f>IF(F153+SUM(E$99:E153)=D$92,F153,D$92-SUM(E$99:E153))</f>
        <v>0</v>
      </c>
      <c r="E154" s="170">
        <f t="shared" si="14"/>
        <v>0</v>
      </c>
      <c r="F154" s="169">
        <f t="shared" si="15"/>
        <v>0</v>
      </c>
      <c r="G154" s="169">
        <f t="shared" si="16"/>
        <v>0</v>
      </c>
      <c r="H154" s="171">
        <f t="shared" si="17"/>
        <v>0</v>
      </c>
      <c r="I154" s="318">
        <f t="shared" si="18"/>
        <v>0</v>
      </c>
      <c r="J154" s="173">
        <f t="shared" si="13"/>
        <v>0</v>
      </c>
      <c r="K154" s="162"/>
      <c r="L154" s="336"/>
      <c r="M154" s="173">
        <f t="shared" si="19"/>
        <v>0</v>
      </c>
      <c r="N154" s="336"/>
      <c r="O154" s="173">
        <f t="shared" si="20"/>
        <v>0</v>
      </c>
      <c r="P154" s="173">
        <f t="shared" si="21"/>
        <v>0</v>
      </c>
    </row>
    <row r="155" spans="2:16">
      <c r="C155" s="158" t="s">
        <v>72</v>
      </c>
      <c r="D155" s="115"/>
      <c r="E155" s="115">
        <f>SUM(E99:E154)</f>
        <v>1692023</v>
      </c>
      <c r="F155" s="115"/>
      <c r="G155" s="115"/>
      <c r="H155" s="115">
        <f>SUM(H99:H154)</f>
        <v>5646002.5884207971</v>
      </c>
      <c r="I155" s="115">
        <f>SUM(I99:I154)</f>
        <v>5646002.5884207971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conditionalFormatting sqref="C17:C72">
    <cfRule type="cellIs" dxfId="25" priority="1" stopIfTrue="1" operator="equal">
      <formula>$I$10</formula>
    </cfRule>
  </conditionalFormatting>
  <conditionalFormatting sqref="C99:C154">
    <cfRule type="cellIs" dxfId="24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tabColor theme="9" tint="-0.249977111117893"/>
  </sheetPr>
  <dimension ref="A1:P162"/>
  <sheetViews>
    <sheetView view="pageBreakPreview" topLeftCell="A70" zoomScale="80" zoomScaleNormal="100" zoomScaleSheetLayoutView="80" workbookViewId="0">
      <selection activeCell="J20" sqref="J20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"&amp;RIGHT(MID(CELL("filename",$A$1),FIND("]",CELL("filename",$A$1))+1,256),2)&amp;" of "&amp;COUNT('P.001:P.xyz - blank'!$P$3)-1</f>
        <v>PSO Project 18 of 28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275</v>
      </c>
      <c r="L5" s="119"/>
      <c r="M5" s="120"/>
      <c r="N5" s="121">
        <f>VLOOKUP(I10,C17:I72,5)</f>
        <v>203353.13199328393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276</v>
      </c>
      <c r="L6" s="125"/>
      <c r="M6" s="4"/>
      <c r="N6" s="126">
        <f>VLOOKUP(I10,C17:I72,6)</f>
        <v>203353.13199328393</v>
      </c>
      <c r="O6" s="1"/>
      <c r="P6" s="1"/>
    </row>
    <row r="7" spans="1:16" ht="13.5" thickBot="1">
      <c r="C7" s="127" t="s">
        <v>41</v>
      </c>
      <c r="D7" s="425" t="s">
        <v>257</v>
      </c>
      <c r="E7" s="405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444" t="s">
        <v>260</v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43</v>
      </c>
      <c r="D9" s="229" t="s">
        <v>264</v>
      </c>
      <c r="E9" s="427" t="s">
        <v>330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1725646.85</v>
      </c>
      <c r="E10" s="64" t="s">
        <v>46</v>
      </c>
      <c r="F10" s="137"/>
      <c r="G10" s="139"/>
      <c r="H10" s="139"/>
      <c r="I10" s="140">
        <f>+PSO.WS.F.BPU.ATRR.Projected!L19</f>
        <v>2020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2014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4</v>
      </c>
      <c r="E12" s="141" t="s">
        <v>51</v>
      </c>
      <c r="F12" s="139"/>
      <c r="G12" s="7"/>
      <c r="H12" s="7"/>
      <c r="I12" s="145">
        <f>PSO.WS.F.BPU.ATRR.Projected!$F$81</f>
        <v>0.10800477690995318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42</v>
      </c>
      <c r="E13" s="141" t="s">
        <v>54</v>
      </c>
      <c r="F13" s="139"/>
      <c r="G13" s="7"/>
      <c r="H13" s="7"/>
      <c r="I13" s="145">
        <f>IF(G5="",I12,PSO.WS.F.BPU.ATRR.Projected!$F$80)</f>
        <v>0.10800477690995318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41086.829761904766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277</v>
      </c>
      <c r="H15" s="362" t="s">
        <v>278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2014</v>
      </c>
      <c r="D17" s="419">
        <v>1725646.85</v>
      </c>
      <c r="E17" s="445">
        <v>22123.677564102563</v>
      </c>
      <c r="F17" s="419">
        <v>1703523.1724358976</v>
      </c>
      <c r="G17" s="445">
        <v>256628.57821434946</v>
      </c>
      <c r="H17" s="424">
        <v>256628.57821434946</v>
      </c>
      <c r="I17" s="160">
        <v>0</v>
      </c>
      <c r="J17" s="160"/>
      <c r="K17" s="338">
        <f t="shared" ref="K17:K22" si="0">G17</f>
        <v>256628.57821434946</v>
      </c>
      <c r="L17" s="439">
        <f t="shared" ref="L17:L22" si="1">IF(K17&lt;&gt;0,+G17-K17,0)</f>
        <v>0</v>
      </c>
      <c r="M17" s="338">
        <f t="shared" ref="M17:M22" si="2">H17</f>
        <v>256628.57821434946</v>
      </c>
      <c r="N17" s="162">
        <f t="shared" ref="N17:N22" si="3">IF(M17&lt;&gt;0,+H17-M17,0)</f>
        <v>0</v>
      </c>
      <c r="O17" s="160">
        <f t="shared" ref="O17:O22" si="4">+N17-L17</f>
        <v>0</v>
      </c>
      <c r="P17" s="4"/>
    </row>
    <row r="18" spans="2:16">
      <c r="B18" s="9" t="str">
        <f>IF(D18=F17,"","IU")</f>
        <v/>
      </c>
      <c r="C18" s="157">
        <f>IF(D11="","-",+C17+1)</f>
        <v>2015</v>
      </c>
      <c r="D18" s="419">
        <v>1703523.1724358976</v>
      </c>
      <c r="E18" s="420">
        <v>33185.516346153847</v>
      </c>
      <c r="F18" s="419">
        <v>1670337.6560897438</v>
      </c>
      <c r="G18" s="420">
        <v>263477.7363505594</v>
      </c>
      <c r="H18" s="424">
        <v>263477.7363505594</v>
      </c>
      <c r="I18" s="160">
        <v>0</v>
      </c>
      <c r="J18" s="160"/>
      <c r="K18" s="338">
        <f t="shared" si="0"/>
        <v>263477.7363505594</v>
      </c>
      <c r="L18" s="439">
        <f t="shared" si="1"/>
        <v>0</v>
      </c>
      <c r="M18" s="338">
        <f t="shared" si="2"/>
        <v>263477.7363505594</v>
      </c>
      <c r="N18" s="162">
        <f t="shared" si="3"/>
        <v>0</v>
      </c>
      <c r="O18" s="160">
        <f t="shared" si="4"/>
        <v>0</v>
      </c>
      <c r="P18" s="4"/>
    </row>
    <row r="19" spans="2:16">
      <c r="B19" s="9" t="str">
        <f>IF(D19=F18,"","IU")</f>
        <v/>
      </c>
      <c r="C19" s="157">
        <f>IF(D11="","-",+C18+1)</f>
        <v>2016</v>
      </c>
      <c r="D19" s="419">
        <v>1670337.6560897438</v>
      </c>
      <c r="E19" s="420">
        <v>33185.516346153847</v>
      </c>
      <c r="F19" s="419">
        <v>1637152.13974359</v>
      </c>
      <c r="G19" s="420">
        <v>247913.51634615386</v>
      </c>
      <c r="H19" s="424">
        <v>247913.51634615386</v>
      </c>
      <c r="I19" s="160">
        <f>H19-G19</f>
        <v>0</v>
      </c>
      <c r="J19" s="160"/>
      <c r="K19" s="338">
        <f t="shared" si="0"/>
        <v>247913.51634615386</v>
      </c>
      <c r="L19" s="439">
        <f t="shared" si="1"/>
        <v>0</v>
      </c>
      <c r="M19" s="338">
        <f t="shared" si="2"/>
        <v>247913.51634615386</v>
      </c>
      <c r="N19" s="162">
        <f t="shared" si="3"/>
        <v>0</v>
      </c>
      <c r="O19" s="160">
        <f t="shared" si="4"/>
        <v>0</v>
      </c>
      <c r="P19" s="4"/>
    </row>
    <row r="20" spans="2:16">
      <c r="B20" s="9" t="str">
        <f t="shared" ref="B20:B72" si="5">IF(D20=F19,"","IU")</f>
        <v>IU</v>
      </c>
      <c r="C20" s="157">
        <f>IF(D11="","-",+C19+1)</f>
        <v>2017</v>
      </c>
      <c r="D20" s="419">
        <v>1637152</v>
      </c>
      <c r="E20" s="420">
        <v>37514</v>
      </c>
      <c r="F20" s="419">
        <v>1599638</v>
      </c>
      <c r="G20" s="420">
        <v>241085</v>
      </c>
      <c r="H20" s="424">
        <v>241085</v>
      </c>
      <c r="I20" s="160">
        <v>0</v>
      </c>
      <c r="J20" s="160"/>
      <c r="K20" s="338">
        <f t="shared" si="0"/>
        <v>241085</v>
      </c>
      <c r="L20" s="439">
        <f t="shared" si="1"/>
        <v>0</v>
      </c>
      <c r="M20" s="338">
        <f t="shared" si="2"/>
        <v>241085</v>
      </c>
      <c r="N20" s="162">
        <f t="shared" si="3"/>
        <v>0</v>
      </c>
      <c r="O20" s="160">
        <f t="shared" si="4"/>
        <v>0</v>
      </c>
      <c r="P20" s="4"/>
    </row>
    <row r="21" spans="2:16">
      <c r="B21" s="9" t="str">
        <f t="shared" si="5"/>
        <v>IU</v>
      </c>
      <c r="C21" s="157">
        <f>IF(D11="","-",+C20+1)</f>
        <v>2018</v>
      </c>
      <c r="D21" s="419">
        <v>1599638.0777870682</v>
      </c>
      <c r="E21" s="420">
        <v>38347.707777777781</v>
      </c>
      <c r="F21" s="419">
        <v>1561290.3700092905</v>
      </c>
      <c r="G21" s="420">
        <v>249645.70777777777</v>
      </c>
      <c r="H21" s="424">
        <v>249645.70777777777</v>
      </c>
      <c r="I21" s="160">
        <f t="shared" ref="I21:I72" si="6">H21-G21</f>
        <v>0</v>
      </c>
      <c r="J21" s="160"/>
      <c r="K21" s="338">
        <f t="shared" si="0"/>
        <v>249645.70777777777</v>
      </c>
      <c r="L21" s="439">
        <f t="shared" si="1"/>
        <v>0</v>
      </c>
      <c r="M21" s="338">
        <f t="shared" si="2"/>
        <v>249645.70777777777</v>
      </c>
      <c r="N21" s="162">
        <f t="shared" si="3"/>
        <v>0</v>
      </c>
      <c r="O21" s="160">
        <f t="shared" si="4"/>
        <v>0</v>
      </c>
      <c r="P21" s="4"/>
    </row>
    <row r="22" spans="2:16">
      <c r="B22" s="9" t="str">
        <f t="shared" si="5"/>
        <v>IU</v>
      </c>
      <c r="C22" s="157">
        <f>IF(D11="","-",+C21+1)</f>
        <v>2019</v>
      </c>
      <c r="D22" s="419">
        <v>1561290.4319658121</v>
      </c>
      <c r="E22" s="420">
        <v>38347.707777777781</v>
      </c>
      <c r="F22" s="419">
        <v>1522942.7241880344</v>
      </c>
      <c r="G22" s="420">
        <v>244455.70777777777</v>
      </c>
      <c r="H22" s="424">
        <v>244455.70777777777</v>
      </c>
      <c r="I22" s="160">
        <f t="shared" si="6"/>
        <v>0</v>
      </c>
      <c r="J22" s="160"/>
      <c r="K22" s="338">
        <f t="shared" si="0"/>
        <v>244455.70777777777</v>
      </c>
      <c r="L22" s="439">
        <f t="shared" si="1"/>
        <v>0</v>
      </c>
      <c r="M22" s="338">
        <f t="shared" si="2"/>
        <v>244455.70777777777</v>
      </c>
      <c r="N22" s="162">
        <f t="shared" si="3"/>
        <v>0</v>
      </c>
      <c r="O22" s="160">
        <f t="shared" si="4"/>
        <v>0</v>
      </c>
      <c r="P22" s="4"/>
    </row>
    <row r="23" spans="2:16">
      <c r="B23" s="9" t="str">
        <f t="shared" si="5"/>
        <v/>
      </c>
      <c r="C23" s="157">
        <f>IF(D11="","-",+C22+1)</f>
        <v>2020</v>
      </c>
      <c r="D23" s="163">
        <f>IF(F22+SUM(E$17:E22)=D$10,F22,D$10-SUM(E$17:E22))</f>
        <v>1522942.7241880344</v>
      </c>
      <c r="E23" s="164">
        <f t="shared" ref="E23:E72" si="7">IF(+$I$14&lt;F22,$I$14,D23)</f>
        <v>41086.829761904766</v>
      </c>
      <c r="F23" s="163">
        <f t="shared" ref="F23:F72" si="8">+D23-E23</f>
        <v>1481855.8944261298</v>
      </c>
      <c r="G23" s="165">
        <f t="shared" ref="G23:G72" si="9">(D23+F23)/2*I$12+E23</f>
        <v>203353.13199328393</v>
      </c>
      <c r="H23" s="147">
        <f t="shared" ref="H23:H72" si="10">+(D23+F23)/2*I$13+E23</f>
        <v>203353.13199328393</v>
      </c>
      <c r="I23" s="160">
        <f t="shared" si="6"/>
        <v>0</v>
      </c>
      <c r="J23" s="160"/>
      <c r="K23" s="335"/>
      <c r="L23" s="162">
        <f t="shared" ref="L23:L72" si="11">IF(K23&lt;&gt;0,+G23-K23,0)</f>
        <v>0</v>
      </c>
      <c r="M23" s="335"/>
      <c r="N23" s="162">
        <f t="shared" ref="N23:N72" si="12">IF(M23&lt;&gt;0,+H23-M23,0)</f>
        <v>0</v>
      </c>
      <c r="O23" s="162">
        <f t="shared" ref="O23:O72" si="13">+N23-L23</f>
        <v>0</v>
      </c>
      <c r="P23" s="4"/>
    </row>
    <row r="24" spans="2:16">
      <c r="B24" s="9" t="str">
        <f t="shared" si="5"/>
        <v/>
      </c>
      <c r="C24" s="157">
        <f>IF(D11="","-",+C23+1)</f>
        <v>2021</v>
      </c>
      <c r="D24" s="163">
        <f>IF(F23+SUM(E$17:E23)=D$10,F23,D$10-SUM(E$17:E23))</f>
        <v>1481855.8944261298</v>
      </c>
      <c r="E24" s="164">
        <f t="shared" si="7"/>
        <v>41086.829761904766</v>
      </c>
      <c r="F24" s="163">
        <f t="shared" si="8"/>
        <v>1440769.0646642251</v>
      </c>
      <c r="G24" s="165">
        <f t="shared" si="9"/>
        <v>198915.55811091216</v>
      </c>
      <c r="H24" s="147">
        <f t="shared" si="10"/>
        <v>198915.55811091216</v>
      </c>
      <c r="I24" s="160">
        <f t="shared" si="6"/>
        <v>0</v>
      </c>
      <c r="J24" s="160"/>
      <c r="K24" s="335"/>
      <c r="L24" s="162">
        <f t="shared" si="11"/>
        <v>0</v>
      </c>
      <c r="M24" s="335"/>
      <c r="N24" s="162">
        <f t="shared" si="12"/>
        <v>0</v>
      </c>
      <c r="O24" s="162">
        <f t="shared" si="13"/>
        <v>0</v>
      </c>
      <c r="P24" s="4"/>
    </row>
    <row r="25" spans="2:16">
      <c r="B25" s="9" t="str">
        <f t="shared" si="5"/>
        <v/>
      </c>
      <c r="C25" s="157">
        <f>IF(D11="","-",+C24+1)</f>
        <v>2022</v>
      </c>
      <c r="D25" s="163">
        <f>IF(F24+SUM(E$17:E24)=D$10,F24,D$10-SUM(E$17:E24))</f>
        <v>1440769.0646642251</v>
      </c>
      <c r="E25" s="164">
        <f t="shared" si="7"/>
        <v>41086.829761904766</v>
      </c>
      <c r="F25" s="163">
        <f t="shared" si="8"/>
        <v>1399682.2349023204</v>
      </c>
      <c r="G25" s="165">
        <f t="shared" si="9"/>
        <v>194477.98422854044</v>
      </c>
      <c r="H25" s="147">
        <f t="shared" si="10"/>
        <v>194477.98422854044</v>
      </c>
      <c r="I25" s="160">
        <f t="shared" si="6"/>
        <v>0</v>
      </c>
      <c r="J25" s="160"/>
      <c r="K25" s="335"/>
      <c r="L25" s="162">
        <f t="shared" si="11"/>
        <v>0</v>
      </c>
      <c r="M25" s="335"/>
      <c r="N25" s="162">
        <f t="shared" si="12"/>
        <v>0</v>
      </c>
      <c r="O25" s="162">
        <f t="shared" si="13"/>
        <v>0</v>
      </c>
      <c r="P25" s="4"/>
    </row>
    <row r="26" spans="2:16">
      <c r="B26" s="9" t="str">
        <f t="shared" si="5"/>
        <v/>
      </c>
      <c r="C26" s="157">
        <f>IF(D11="","-",+C25+1)</f>
        <v>2023</v>
      </c>
      <c r="D26" s="163">
        <f>IF(F25+SUM(E$17:E25)=D$10,F25,D$10-SUM(E$17:E25))</f>
        <v>1399682.2349023204</v>
      </c>
      <c r="E26" s="164">
        <f t="shared" si="7"/>
        <v>41086.829761904766</v>
      </c>
      <c r="F26" s="163">
        <f t="shared" si="8"/>
        <v>1358595.4051404158</v>
      </c>
      <c r="G26" s="165">
        <f t="shared" si="9"/>
        <v>190040.41034616868</v>
      </c>
      <c r="H26" s="147">
        <f t="shared" si="10"/>
        <v>190040.41034616868</v>
      </c>
      <c r="I26" s="160">
        <f t="shared" si="6"/>
        <v>0</v>
      </c>
      <c r="J26" s="160"/>
      <c r="K26" s="335"/>
      <c r="L26" s="162">
        <f t="shared" si="11"/>
        <v>0</v>
      </c>
      <c r="M26" s="335"/>
      <c r="N26" s="162">
        <f t="shared" si="12"/>
        <v>0</v>
      </c>
      <c r="O26" s="162">
        <f t="shared" si="13"/>
        <v>0</v>
      </c>
      <c r="P26" s="4"/>
    </row>
    <row r="27" spans="2:16">
      <c r="B27" s="9" t="str">
        <f t="shared" si="5"/>
        <v/>
      </c>
      <c r="C27" s="157">
        <f>IF(D11="","-",+C26+1)</f>
        <v>2024</v>
      </c>
      <c r="D27" s="163">
        <f>IF(F26+SUM(E$17:E26)=D$10,F26,D$10-SUM(E$17:E26))</f>
        <v>1358595.4051404158</v>
      </c>
      <c r="E27" s="164">
        <f t="shared" si="7"/>
        <v>41086.829761904766</v>
      </c>
      <c r="F27" s="163">
        <f t="shared" si="8"/>
        <v>1317508.5753785111</v>
      </c>
      <c r="G27" s="165">
        <f t="shared" si="9"/>
        <v>185602.83646379696</v>
      </c>
      <c r="H27" s="147">
        <f t="shared" si="10"/>
        <v>185602.83646379696</v>
      </c>
      <c r="I27" s="160">
        <f t="shared" si="6"/>
        <v>0</v>
      </c>
      <c r="J27" s="160"/>
      <c r="K27" s="335"/>
      <c r="L27" s="162">
        <f t="shared" si="11"/>
        <v>0</v>
      </c>
      <c r="M27" s="335"/>
      <c r="N27" s="162">
        <f t="shared" si="12"/>
        <v>0</v>
      </c>
      <c r="O27" s="162">
        <f t="shared" si="13"/>
        <v>0</v>
      </c>
      <c r="P27" s="4"/>
    </row>
    <row r="28" spans="2:16">
      <c r="B28" s="9" t="str">
        <f t="shared" si="5"/>
        <v/>
      </c>
      <c r="C28" s="157">
        <f>IF(D11="","-",+C27+1)</f>
        <v>2025</v>
      </c>
      <c r="D28" s="163">
        <f>IF(F27+SUM(E$17:E27)=D$10,F27,D$10-SUM(E$17:E27))</f>
        <v>1317508.5753785111</v>
      </c>
      <c r="E28" s="164">
        <f t="shared" si="7"/>
        <v>41086.829761904766</v>
      </c>
      <c r="F28" s="163">
        <f t="shared" si="8"/>
        <v>1276421.7456166064</v>
      </c>
      <c r="G28" s="165">
        <f t="shared" si="9"/>
        <v>181165.2625814252</v>
      </c>
      <c r="H28" s="147">
        <f t="shared" si="10"/>
        <v>181165.2625814252</v>
      </c>
      <c r="I28" s="160">
        <f t="shared" si="6"/>
        <v>0</v>
      </c>
      <c r="J28" s="160"/>
      <c r="K28" s="335"/>
      <c r="L28" s="162">
        <f t="shared" si="11"/>
        <v>0</v>
      </c>
      <c r="M28" s="335"/>
      <c r="N28" s="162">
        <f t="shared" si="12"/>
        <v>0</v>
      </c>
      <c r="O28" s="162">
        <f t="shared" si="13"/>
        <v>0</v>
      </c>
      <c r="P28" s="4"/>
    </row>
    <row r="29" spans="2:16">
      <c r="B29" s="9" t="str">
        <f t="shared" si="5"/>
        <v/>
      </c>
      <c r="C29" s="157">
        <f>IF(D11="","-",+C28+1)</f>
        <v>2026</v>
      </c>
      <c r="D29" s="163">
        <f>IF(F28+SUM(E$17:E28)=D$10,F28,D$10-SUM(E$17:E28))</f>
        <v>1276421.7456166064</v>
      </c>
      <c r="E29" s="164">
        <f t="shared" si="7"/>
        <v>41086.829761904766</v>
      </c>
      <c r="F29" s="163">
        <f t="shared" si="8"/>
        <v>1235334.9158547018</v>
      </c>
      <c r="G29" s="165">
        <f t="shared" si="9"/>
        <v>176727.68869905348</v>
      </c>
      <c r="H29" s="147">
        <f t="shared" si="10"/>
        <v>176727.68869905348</v>
      </c>
      <c r="I29" s="160">
        <f t="shared" si="6"/>
        <v>0</v>
      </c>
      <c r="J29" s="160"/>
      <c r="K29" s="335"/>
      <c r="L29" s="162">
        <f t="shared" si="11"/>
        <v>0</v>
      </c>
      <c r="M29" s="335"/>
      <c r="N29" s="162">
        <f t="shared" si="12"/>
        <v>0</v>
      </c>
      <c r="O29" s="162">
        <f t="shared" si="13"/>
        <v>0</v>
      </c>
      <c r="P29" s="4"/>
    </row>
    <row r="30" spans="2:16">
      <c r="B30" s="9" t="str">
        <f t="shared" si="5"/>
        <v/>
      </c>
      <c r="C30" s="157">
        <f>IF(D11="","-",+C29+1)</f>
        <v>2027</v>
      </c>
      <c r="D30" s="163">
        <f>IF(F29+SUM(E$17:E29)=D$10,F29,D$10-SUM(E$17:E29))</f>
        <v>1235334.9158547018</v>
      </c>
      <c r="E30" s="164">
        <f t="shared" si="7"/>
        <v>41086.829761904766</v>
      </c>
      <c r="F30" s="163">
        <f t="shared" si="8"/>
        <v>1194248.0860927971</v>
      </c>
      <c r="G30" s="165">
        <f t="shared" si="9"/>
        <v>172290.11481668177</v>
      </c>
      <c r="H30" s="147">
        <f t="shared" si="10"/>
        <v>172290.11481668177</v>
      </c>
      <c r="I30" s="160">
        <f t="shared" si="6"/>
        <v>0</v>
      </c>
      <c r="J30" s="160"/>
      <c r="K30" s="335"/>
      <c r="L30" s="162">
        <f t="shared" si="11"/>
        <v>0</v>
      </c>
      <c r="M30" s="335"/>
      <c r="N30" s="162">
        <f t="shared" si="12"/>
        <v>0</v>
      </c>
      <c r="O30" s="162">
        <f t="shared" si="13"/>
        <v>0</v>
      </c>
      <c r="P30" s="4"/>
    </row>
    <row r="31" spans="2:16">
      <c r="B31" s="9" t="str">
        <f t="shared" si="5"/>
        <v/>
      </c>
      <c r="C31" s="157">
        <f>IF(D11="","-",+C30+1)</f>
        <v>2028</v>
      </c>
      <c r="D31" s="163">
        <f>IF(F30+SUM(E$17:E30)=D$10,F30,D$10-SUM(E$17:E30))</f>
        <v>1194248.0860927971</v>
      </c>
      <c r="E31" s="164">
        <f t="shared" si="7"/>
        <v>41086.829761904766</v>
      </c>
      <c r="F31" s="163">
        <f t="shared" si="8"/>
        <v>1153161.2563308924</v>
      </c>
      <c r="G31" s="165">
        <f t="shared" si="9"/>
        <v>167852.54093431</v>
      </c>
      <c r="H31" s="147">
        <f t="shared" si="10"/>
        <v>167852.54093431</v>
      </c>
      <c r="I31" s="160">
        <f t="shared" si="6"/>
        <v>0</v>
      </c>
      <c r="J31" s="160"/>
      <c r="K31" s="335"/>
      <c r="L31" s="162">
        <f t="shared" si="11"/>
        <v>0</v>
      </c>
      <c r="M31" s="335"/>
      <c r="N31" s="162">
        <f t="shared" si="12"/>
        <v>0</v>
      </c>
      <c r="O31" s="162">
        <f t="shared" si="13"/>
        <v>0</v>
      </c>
      <c r="P31" s="4"/>
    </row>
    <row r="32" spans="2:16">
      <c r="B32" s="9" t="str">
        <f t="shared" si="5"/>
        <v/>
      </c>
      <c r="C32" s="157">
        <f>IF(D11="","-",+C31+1)</f>
        <v>2029</v>
      </c>
      <c r="D32" s="163">
        <f>IF(F31+SUM(E$17:E31)=D$10,F31,D$10-SUM(E$17:E31))</f>
        <v>1153161.2563308924</v>
      </c>
      <c r="E32" s="164">
        <f t="shared" si="7"/>
        <v>41086.829761904766</v>
      </c>
      <c r="F32" s="163">
        <f t="shared" si="8"/>
        <v>1112074.4265689878</v>
      </c>
      <c r="G32" s="165">
        <f t="shared" si="9"/>
        <v>163414.96705193826</v>
      </c>
      <c r="H32" s="147">
        <f t="shared" si="10"/>
        <v>163414.96705193826</v>
      </c>
      <c r="I32" s="160">
        <f t="shared" si="6"/>
        <v>0</v>
      </c>
      <c r="J32" s="160"/>
      <c r="K32" s="335"/>
      <c r="L32" s="162">
        <f t="shared" si="11"/>
        <v>0</v>
      </c>
      <c r="M32" s="335"/>
      <c r="N32" s="162">
        <f t="shared" si="12"/>
        <v>0</v>
      </c>
      <c r="O32" s="162">
        <f t="shared" si="13"/>
        <v>0</v>
      </c>
      <c r="P32" s="4"/>
    </row>
    <row r="33" spans="2:16">
      <c r="B33" s="9" t="str">
        <f t="shared" si="5"/>
        <v/>
      </c>
      <c r="C33" s="157">
        <f>IF(D11="","-",+C32+1)</f>
        <v>2030</v>
      </c>
      <c r="D33" s="163">
        <f>IF(F32+SUM(E$17:E32)=D$10,F32,D$10-SUM(E$17:E32))</f>
        <v>1112074.4265689878</v>
      </c>
      <c r="E33" s="164">
        <f t="shared" si="7"/>
        <v>41086.829761904766</v>
      </c>
      <c r="F33" s="163">
        <f t="shared" si="8"/>
        <v>1070987.5968070831</v>
      </c>
      <c r="G33" s="165">
        <f t="shared" si="9"/>
        <v>158977.39316956652</v>
      </c>
      <c r="H33" s="147">
        <f t="shared" si="10"/>
        <v>158977.39316956652</v>
      </c>
      <c r="I33" s="160">
        <f t="shared" si="6"/>
        <v>0</v>
      </c>
      <c r="J33" s="160"/>
      <c r="K33" s="335"/>
      <c r="L33" s="162">
        <f t="shared" si="11"/>
        <v>0</v>
      </c>
      <c r="M33" s="335"/>
      <c r="N33" s="162">
        <f t="shared" si="12"/>
        <v>0</v>
      </c>
      <c r="O33" s="162">
        <f t="shared" si="13"/>
        <v>0</v>
      </c>
      <c r="P33" s="4"/>
    </row>
    <row r="34" spans="2:16">
      <c r="B34" s="9" t="str">
        <f t="shared" si="5"/>
        <v/>
      </c>
      <c r="C34" s="157">
        <f>IF(D11="","-",+C33+1)</f>
        <v>2031</v>
      </c>
      <c r="D34" s="163">
        <f>IF(F33+SUM(E$17:E33)=D$10,F33,D$10-SUM(E$17:E33))</f>
        <v>1070987.5968070831</v>
      </c>
      <c r="E34" s="164">
        <f t="shared" si="7"/>
        <v>41086.829761904766</v>
      </c>
      <c r="F34" s="163">
        <f t="shared" si="8"/>
        <v>1029900.7670451783</v>
      </c>
      <c r="G34" s="165">
        <f t="shared" si="9"/>
        <v>154539.81928719481</v>
      </c>
      <c r="H34" s="147">
        <f t="shared" si="10"/>
        <v>154539.81928719481</v>
      </c>
      <c r="I34" s="160">
        <f t="shared" si="6"/>
        <v>0</v>
      </c>
      <c r="J34" s="160"/>
      <c r="K34" s="335"/>
      <c r="L34" s="162">
        <f t="shared" si="11"/>
        <v>0</v>
      </c>
      <c r="M34" s="335"/>
      <c r="N34" s="162">
        <f t="shared" si="12"/>
        <v>0</v>
      </c>
      <c r="O34" s="162">
        <f t="shared" si="13"/>
        <v>0</v>
      </c>
      <c r="P34" s="4"/>
    </row>
    <row r="35" spans="2:16">
      <c r="B35" s="9" t="str">
        <f t="shared" si="5"/>
        <v/>
      </c>
      <c r="C35" s="157">
        <f>IF(D11="","-",+C34+1)</f>
        <v>2032</v>
      </c>
      <c r="D35" s="163">
        <f>IF(F34+SUM(E$17:E34)=D$10,F34,D$10-SUM(E$17:E34))</f>
        <v>1029900.7670451783</v>
      </c>
      <c r="E35" s="164">
        <f t="shared" si="7"/>
        <v>41086.829761904766</v>
      </c>
      <c r="F35" s="163">
        <f t="shared" si="8"/>
        <v>988813.93728327355</v>
      </c>
      <c r="G35" s="165">
        <f t="shared" si="9"/>
        <v>150102.24540482304</v>
      </c>
      <c r="H35" s="147">
        <f t="shared" si="10"/>
        <v>150102.24540482304</v>
      </c>
      <c r="I35" s="160">
        <f t="shared" si="6"/>
        <v>0</v>
      </c>
      <c r="J35" s="160"/>
      <c r="K35" s="335"/>
      <c r="L35" s="162">
        <f t="shared" si="11"/>
        <v>0</v>
      </c>
      <c r="M35" s="335"/>
      <c r="N35" s="162">
        <f t="shared" si="12"/>
        <v>0</v>
      </c>
      <c r="O35" s="162">
        <f t="shared" si="13"/>
        <v>0</v>
      </c>
      <c r="P35" s="4"/>
    </row>
    <row r="36" spans="2:16">
      <c r="B36" s="9" t="str">
        <f t="shared" si="5"/>
        <v/>
      </c>
      <c r="C36" s="157">
        <f>IF(D11="","-",+C35+1)</f>
        <v>2033</v>
      </c>
      <c r="D36" s="163">
        <f>IF(F35+SUM(E$17:E35)=D$10,F35,D$10-SUM(E$17:E35))</f>
        <v>988813.93728327355</v>
      </c>
      <c r="E36" s="164">
        <f t="shared" si="7"/>
        <v>41086.829761904766</v>
      </c>
      <c r="F36" s="163">
        <f t="shared" si="8"/>
        <v>947727.10752136877</v>
      </c>
      <c r="G36" s="165">
        <f t="shared" si="9"/>
        <v>145664.67152245127</v>
      </c>
      <c r="H36" s="147">
        <f t="shared" si="10"/>
        <v>145664.67152245127</v>
      </c>
      <c r="I36" s="160">
        <f t="shared" si="6"/>
        <v>0</v>
      </c>
      <c r="J36" s="160"/>
      <c r="K36" s="335"/>
      <c r="L36" s="162">
        <f t="shared" si="11"/>
        <v>0</v>
      </c>
      <c r="M36" s="335"/>
      <c r="N36" s="162">
        <f t="shared" si="12"/>
        <v>0</v>
      </c>
      <c r="O36" s="162">
        <f t="shared" si="13"/>
        <v>0</v>
      </c>
      <c r="P36" s="4"/>
    </row>
    <row r="37" spans="2:16">
      <c r="B37" s="9" t="str">
        <f t="shared" si="5"/>
        <v/>
      </c>
      <c r="C37" s="157">
        <f>IF(D11="","-",+C36+1)</f>
        <v>2034</v>
      </c>
      <c r="D37" s="163">
        <f>IF(F36+SUM(E$17:E36)=D$10,F36,D$10-SUM(E$17:E36))</f>
        <v>947727.10752136877</v>
      </c>
      <c r="E37" s="164">
        <f t="shared" si="7"/>
        <v>41086.829761904766</v>
      </c>
      <c r="F37" s="163">
        <f t="shared" si="8"/>
        <v>906640.27775946399</v>
      </c>
      <c r="G37" s="165">
        <f t="shared" si="9"/>
        <v>141227.09764007953</v>
      </c>
      <c r="H37" s="147">
        <f t="shared" si="10"/>
        <v>141227.09764007953</v>
      </c>
      <c r="I37" s="160">
        <f t="shared" si="6"/>
        <v>0</v>
      </c>
      <c r="J37" s="160"/>
      <c r="K37" s="335"/>
      <c r="L37" s="162">
        <f t="shared" si="11"/>
        <v>0</v>
      </c>
      <c r="M37" s="335"/>
      <c r="N37" s="162">
        <f t="shared" si="12"/>
        <v>0</v>
      </c>
      <c r="O37" s="162">
        <f t="shared" si="13"/>
        <v>0</v>
      </c>
      <c r="P37" s="4"/>
    </row>
    <row r="38" spans="2:16">
      <c r="B38" s="9" t="str">
        <f t="shared" si="5"/>
        <v/>
      </c>
      <c r="C38" s="157">
        <f>IF(D11="","-",+C37+1)</f>
        <v>2035</v>
      </c>
      <c r="D38" s="163">
        <f>IF(F37+SUM(E$17:E37)=D$10,F37,D$10-SUM(E$17:E37))</f>
        <v>906640.27775946399</v>
      </c>
      <c r="E38" s="164">
        <f t="shared" si="7"/>
        <v>41086.829761904766</v>
      </c>
      <c r="F38" s="163">
        <f t="shared" si="8"/>
        <v>865553.44799755921</v>
      </c>
      <c r="G38" s="165">
        <f t="shared" si="9"/>
        <v>136789.52375770779</v>
      </c>
      <c r="H38" s="147">
        <f t="shared" si="10"/>
        <v>136789.52375770779</v>
      </c>
      <c r="I38" s="160">
        <f t="shared" si="6"/>
        <v>0</v>
      </c>
      <c r="J38" s="160"/>
      <c r="K38" s="335"/>
      <c r="L38" s="162">
        <f t="shared" si="11"/>
        <v>0</v>
      </c>
      <c r="M38" s="335"/>
      <c r="N38" s="162">
        <f t="shared" si="12"/>
        <v>0</v>
      </c>
      <c r="O38" s="162">
        <f t="shared" si="13"/>
        <v>0</v>
      </c>
      <c r="P38" s="4"/>
    </row>
    <row r="39" spans="2:16">
      <c r="B39" s="9" t="str">
        <f t="shared" si="5"/>
        <v/>
      </c>
      <c r="C39" s="157">
        <f>IF(D11="","-",+C38+1)</f>
        <v>2036</v>
      </c>
      <c r="D39" s="163">
        <f>IF(F38+SUM(E$17:E38)=D$10,F38,D$10-SUM(E$17:E38))</f>
        <v>865553.44799755921</v>
      </c>
      <c r="E39" s="164">
        <f t="shared" si="7"/>
        <v>41086.829761904766</v>
      </c>
      <c r="F39" s="163">
        <f t="shared" si="8"/>
        <v>824466.61823565443</v>
      </c>
      <c r="G39" s="165">
        <f t="shared" si="9"/>
        <v>132351.94987533602</v>
      </c>
      <c r="H39" s="147">
        <f t="shared" si="10"/>
        <v>132351.94987533602</v>
      </c>
      <c r="I39" s="160">
        <f t="shared" si="6"/>
        <v>0</v>
      </c>
      <c r="J39" s="160"/>
      <c r="K39" s="335"/>
      <c r="L39" s="162">
        <f t="shared" si="11"/>
        <v>0</v>
      </c>
      <c r="M39" s="335"/>
      <c r="N39" s="162">
        <f t="shared" si="12"/>
        <v>0</v>
      </c>
      <c r="O39" s="162">
        <f t="shared" si="13"/>
        <v>0</v>
      </c>
      <c r="P39" s="4"/>
    </row>
    <row r="40" spans="2:16">
      <c r="B40" s="9" t="str">
        <f t="shared" si="5"/>
        <v/>
      </c>
      <c r="C40" s="157">
        <f>IF(D11="","-",+C39+1)</f>
        <v>2037</v>
      </c>
      <c r="D40" s="163">
        <f>IF(F39+SUM(E$17:E39)=D$10,F39,D$10-SUM(E$17:E39))</f>
        <v>824466.61823565443</v>
      </c>
      <c r="E40" s="164">
        <f t="shared" si="7"/>
        <v>41086.829761904766</v>
      </c>
      <c r="F40" s="163">
        <f t="shared" si="8"/>
        <v>783379.78847374965</v>
      </c>
      <c r="G40" s="165">
        <f t="shared" si="9"/>
        <v>127914.37599296428</v>
      </c>
      <c r="H40" s="147">
        <f t="shared" si="10"/>
        <v>127914.37599296428</v>
      </c>
      <c r="I40" s="160">
        <f t="shared" si="6"/>
        <v>0</v>
      </c>
      <c r="J40" s="160"/>
      <c r="K40" s="335"/>
      <c r="L40" s="162">
        <f t="shared" si="11"/>
        <v>0</v>
      </c>
      <c r="M40" s="335"/>
      <c r="N40" s="162">
        <f t="shared" si="12"/>
        <v>0</v>
      </c>
      <c r="O40" s="162">
        <f t="shared" si="13"/>
        <v>0</v>
      </c>
      <c r="P40" s="4"/>
    </row>
    <row r="41" spans="2:16">
      <c r="B41" s="9" t="str">
        <f t="shared" si="5"/>
        <v/>
      </c>
      <c r="C41" s="157">
        <f>IF(D11="","-",+C40+1)</f>
        <v>2038</v>
      </c>
      <c r="D41" s="163">
        <f>IF(F40+SUM(E$17:E40)=D$10,F40,D$10-SUM(E$17:E40))</f>
        <v>783379.78847374965</v>
      </c>
      <c r="E41" s="164">
        <f t="shared" si="7"/>
        <v>41086.829761904766</v>
      </c>
      <c r="F41" s="163">
        <f t="shared" si="8"/>
        <v>742292.95871184487</v>
      </c>
      <c r="G41" s="165">
        <f t="shared" si="9"/>
        <v>123476.80211059253</v>
      </c>
      <c r="H41" s="147">
        <f t="shared" si="10"/>
        <v>123476.80211059253</v>
      </c>
      <c r="I41" s="160">
        <f t="shared" si="6"/>
        <v>0</v>
      </c>
      <c r="J41" s="160"/>
      <c r="K41" s="335"/>
      <c r="L41" s="162">
        <f t="shared" si="11"/>
        <v>0</v>
      </c>
      <c r="M41" s="335"/>
      <c r="N41" s="162">
        <f t="shared" si="12"/>
        <v>0</v>
      </c>
      <c r="O41" s="162">
        <f t="shared" si="13"/>
        <v>0</v>
      </c>
      <c r="P41" s="4"/>
    </row>
    <row r="42" spans="2:16">
      <c r="B42" s="9" t="str">
        <f t="shared" si="5"/>
        <v/>
      </c>
      <c r="C42" s="157">
        <f>IF(D11="","-",+C41+1)</f>
        <v>2039</v>
      </c>
      <c r="D42" s="163">
        <f>IF(F41+SUM(E$17:E41)=D$10,F41,D$10-SUM(E$17:E41))</f>
        <v>742292.95871184487</v>
      </c>
      <c r="E42" s="164">
        <f t="shared" si="7"/>
        <v>41086.829761904766</v>
      </c>
      <c r="F42" s="163">
        <f t="shared" si="8"/>
        <v>701206.12894994009</v>
      </c>
      <c r="G42" s="165">
        <f t="shared" si="9"/>
        <v>119039.22822822079</v>
      </c>
      <c r="H42" s="147">
        <f t="shared" si="10"/>
        <v>119039.22822822079</v>
      </c>
      <c r="I42" s="160">
        <f t="shared" si="6"/>
        <v>0</v>
      </c>
      <c r="J42" s="160"/>
      <c r="K42" s="335"/>
      <c r="L42" s="162">
        <f t="shared" si="11"/>
        <v>0</v>
      </c>
      <c r="M42" s="335"/>
      <c r="N42" s="162">
        <f t="shared" si="12"/>
        <v>0</v>
      </c>
      <c r="O42" s="162">
        <f t="shared" si="13"/>
        <v>0</v>
      </c>
      <c r="P42" s="4"/>
    </row>
    <row r="43" spans="2:16">
      <c r="B43" s="9" t="str">
        <f t="shared" si="5"/>
        <v/>
      </c>
      <c r="C43" s="157">
        <f>IF(D11="","-",+C42+1)</f>
        <v>2040</v>
      </c>
      <c r="D43" s="163">
        <f>IF(F42+SUM(E$17:E42)=D$10,F42,D$10-SUM(E$17:E42))</f>
        <v>701206.12894994009</v>
      </c>
      <c r="E43" s="164">
        <f t="shared" si="7"/>
        <v>41086.829761904766</v>
      </c>
      <c r="F43" s="163">
        <f t="shared" si="8"/>
        <v>660119.29918803531</v>
      </c>
      <c r="G43" s="165">
        <f t="shared" si="9"/>
        <v>114601.65434584902</v>
      </c>
      <c r="H43" s="147">
        <f t="shared" si="10"/>
        <v>114601.65434584902</v>
      </c>
      <c r="I43" s="160">
        <f t="shared" si="6"/>
        <v>0</v>
      </c>
      <c r="J43" s="160"/>
      <c r="K43" s="335"/>
      <c r="L43" s="162">
        <f t="shared" si="11"/>
        <v>0</v>
      </c>
      <c r="M43" s="335"/>
      <c r="N43" s="162">
        <f t="shared" si="12"/>
        <v>0</v>
      </c>
      <c r="O43" s="162">
        <f t="shared" si="13"/>
        <v>0</v>
      </c>
      <c r="P43" s="4"/>
    </row>
    <row r="44" spans="2:16">
      <c r="B44" s="9" t="str">
        <f t="shared" si="5"/>
        <v/>
      </c>
      <c r="C44" s="157">
        <f>IF(D11="","-",+C43+1)</f>
        <v>2041</v>
      </c>
      <c r="D44" s="163">
        <f>IF(F43+SUM(E$17:E43)=D$10,F43,D$10-SUM(E$17:E43))</f>
        <v>660119.29918803531</v>
      </c>
      <c r="E44" s="164">
        <f t="shared" si="7"/>
        <v>41086.829761904766</v>
      </c>
      <c r="F44" s="163">
        <f t="shared" si="8"/>
        <v>619032.46942613053</v>
      </c>
      <c r="G44" s="165">
        <f t="shared" si="9"/>
        <v>110164.08046347729</v>
      </c>
      <c r="H44" s="147">
        <f t="shared" si="10"/>
        <v>110164.08046347729</v>
      </c>
      <c r="I44" s="160">
        <f t="shared" si="6"/>
        <v>0</v>
      </c>
      <c r="J44" s="160"/>
      <c r="K44" s="335"/>
      <c r="L44" s="162">
        <f t="shared" si="11"/>
        <v>0</v>
      </c>
      <c r="M44" s="335"/>
      <c r="N44" s="162">
        <f t="shared" si="12"/>
        <v>0</v>
      </c>
      <c r="O44" s="162">
        <f t="shared" si="13"/>
        <v>0</v>
      </c>
      <c r="P44" s="4"/>
    </row>
    <row r="45" spans="2:16">
      <c r="B45" s="9" t="str">
        <f t="shared" si="5"/>
        <v/>
      </c>
      <c r="C45" s="157">
        <f>IF(D11="","-",+C44+1)</f>
        <v>2042</v>
      </c>
      <c r="D45" s="163">
        <f>IF(F44+SUM(E$17:E44)=D$10,F44,D$10-SUM(E$17:E44))</f>
        <v>619032.46942613053</v>
      </c>
      <c r="E45" s="164">
        <f t="shared" si="7"/>
        <v>41086.829761904766</v>
      </c>
      <c r="F45" s="163">
        <f t="shared" si="8"/>
        <v>577945.63966422575</v>
      </c>
      <c r="G45" s="165">
        <f t="shared" si="9"/>
        <v>105726.50658110552</v>
      </c>
      <c r="H45" s="147">
        <f t="shared" si="10"/>
        <v>105726.50658110552</v>
      </c>
      <c r="I45" s="160">
        <f t="shared" si="6"/>
        <v>0</v>
      </c>
      <c r="J45" s="160"/>
      <c r="K45" s="335"/>
      <c r="L45" s="162">
        <f t="shared" si="11"/>
        <v>0</v>
      </c>
      <c r="M45" s="335"/>
      <c r="N45" s="162">
        <f t="shared" si="12"/>
        <v>0</v>
      </c>
      <c r="O45" s="162">
        <f t="shared" si="13"/>
        <v>0</v>
      </c>
      <c r="P45" s="4"/>
    </row>
    <row r="46" spans="2:16">
      <c r="B46" s="9" t="str">
        <f t="shared" si="5"/>
        <v/>
      </c>
      <c r="C46" s="157">
        <f>IF(D11="","-",+C45+1)</f>
        <v>2043</v>
      </c>
      <c r="D46" s="163">
        <f>IF(F45+SUM(E$17:E45)=D$10,F45,D$10-SUM(E$17:E45))</f>
        <v>577945.63966422575</v>
      </c>
      <c r="E46" s="164">
        <f t="shared" si="7"/>
        <v>41086.829761904766</v>
      </c>
      <c r="F46" s="163">
        <f t="shared" si="8"/>
        <v>536858.80990232097</v>
      </c>
      <c r="G46" s="165">
        <f t="shared" si="9"/>
        <v>101288.93269873378</v>
      </c>
      <c r="H46" s="147">
        <f t="shared" si="10"/>
        <v>101288.93269873378</v>
      </c>
      <c r="I46" s="160">
        <f t="shared" si="6"/>
        <v>0</v>
      </c>
      <c r="J46" s="160"/>
      <c r="K46" s="335"/>
      <c r="L46" s="162">
        <f t="shared" si="11"/>
        <v>0</v>
      </c>
      <c r="M46" s="335"/>
      <c r="N46" s="162">
        <f t="shared" si="12"/>
        <v>0</v>
      </c>
      <c r="O46" s="162">
        <f t="shared" si="13"/>
        <v>0</v>
      </c>
      <c r="P46" s="4"/>
    </row>
    <row r="47" spans="2:16">
      <c r="B47" s="9" t="str">
        <f t="shared" si="5"/>
        <v/>
      </c>
      <c r="C47" s="157">
        <f>IF(D11="","-",+C46+1)</f>
        <v>2044</v>
      </c>
      <c r="D47" s="163">
        <f>IF(F46+SUM(E$17:E46)=D$10,F46,D$10-SUM(E$17:E46))</f>
        <v>536858.80990232097</v>
      </c>
      <c r="E47" s="164">
        <f t="shared" si="7"/>
        <v>41086.829761904766</v>
      </c>
      <c r="F47" s="163">
        <f t="shared" si="8"/>
        <v>495771.98014041618</v>
      </c>
      <c r="G47" s="165">
        <f t="shared" si="9"/>
        <v>96851.35881636203</v>
      </c>
      <c r="H47" s="147">
        <f t="shared" si="10"/>
        <v>96851.35881636203</v>
      </c>
      <c r="I47" s="160">
        <f t="shared" si="6"/>
        <v>0</v>
      </c>
      <c r="J47" s="160"/>
      <c r="K47" s="335"/>
      <c r="L47" s="162">
        <f t="shared" si="11"/>
        <v>0</v>
      </c>
      <c r="M47" s="335"/>
      <c r="N47" s="162">
        <f t="shared" si="12"/>
        <v>0</v>
      </c>
      <c r="O47" s="162">
        <f t="shared" si="13"/>
        <v>0</v>
      </c>
      <c r="P47" s="4"/>
    </row>
    <row r="48" spans="2:16">
      <c r="B48" s="9" t="str">
        <f t="shared" si="5"/>
        <v/>
      </c>
      <c r="C48" s="157">
        <f>IF(D11="","-",+C47+1)</f>
        <v>2045</v>
      </c>
      <c r="D48" s="163">
        <f>IF(F47+SUM(E$17:E47)=D$10,F47,D$10-SUM(E$17:E47))</f>
        <v>495771.98014041618</v>
      </c>
      <c r="E48" s="164">
        <f t="shared" si="7"/>
        <v>41086.829761904766</v>
      </c>
      <c r="F48" s="163">
        <f t="shared" si="8"/>
        <v>454685.1503785114</v>
      </c>
      <c r="G48" s="165">
        <f t="shared" si="9"/>
        <v>92413.784933990275</v>
      </c>
      <c r="H48" s="147">
        <f t="shared" si="10"/>
        <v>92413.784933990275</v>
      </c>
      <c r="I48" s="160">
        <f t="shared" si="6"/>
        <v>0</v>
      </c>
      <c r="J48" s="160"/>
      <c r="K48" s="335"/>
      <c r="L48" s="162">
        <f t="shared" si="11"/>
        <v>0</v>
      </c>
      <c r="M48" s="335"/>
      <c r="N48" s="162">
        <f t="shared" si="12"/>
        <v>0</v>
      </c>
      <c r="O48" s="162">
        <f t="shared" si="13"/>
        <v>0</v>
      </c>
      <c r="P48" s="4"/>
    </row>
    <row r="49" spans="2:16">
      <c r="B49" s="9" t="str">
        <f t="shared" si="5"/>
        <v/>
      </c>
      <c r="C49" s="157">
        <f>IF(D11="","-",+C48+1)</f>
        <v>2046</v>
      </c>
      <c r="D49" s="163">
        <f>IF(F48+SUM(E$17:E48)=D$10,F48,D$10-SUM(E$17:E48))</f>
        <v>454685.1503785114</v>
      </c>
      <c r="E49" s="164">
        <f t="shared" si="7"/>
        <v>41086.829761904766</v>
      </c>
      <c r="F49" s="163">
        <f t="shared" si="8"/>
        <v>413598.32061660662</v>
      </c>
      <c r="G49" s="165">
        <f t="shared" si="9"/>
        <v>87976.211051618535</v>
      </c>
      <c r="H49" s="147">
        <f t="shared" si="10"/>
        <v>87976.211051618535</v>
      </c>
      <c r="I49" s="160">
        <f t="shared" si="6"/>
        <v>0</v>
      </c>
      <c r="J49" s="160"/>
      <c r="K49" s="335"/>
      <c r="L49" s="162">
        <f t="shared" si="11"/>
        <v>0</v>
      </c>
      <c r="M49" s="335"/>
      <c r="N49" s="162">
        <f t="shared" si="12"/>
        <v>0</v>
      </c>
      <c r="O49" s="162">
        <f t="shared" si="13"/>
        <v>0</v>
      </c>
      <c r="P49" s="4"/>
    </row>
    <row r="50" spans="2:16">
      <c r="B50" s="9" t="str">
        <f t="shared" si="5"/>
        <v/>
      </c>
      <c r="C50" s="157">
        <f>IF(D11="","-",+C49+1)</f>
        <v>2047</v>
      </c>
      <c r="D50" s="163">
        <f>IF(F49+SUM(E$17:E49)=D$10,F49,D$10-SUM(E$17:E49))</f>
        <v>413598.32061660662</v>
      </c>
      <c r="E50" s="164">
        <f t="shared" si="7"/>
        <v>41086.829761904766</v>
      </c>
      <c r="F50" s="163">
        <f t="shared" si="8"/>
        <v>372511.49085470184</v>
      </c>
      <c r="G50" s="165">
        <f t="shared" si="9"/>
        <v>83538.63716924678</v>
      </c>
      <c r="H50" s="147">
        <f t="shared" si="10"/>
        <v>83538.63716924678</v>
      </c>
      <c r="I50" s="160">
        <f t="shared" si="6"/>
        <v>0</v>
      </c>
      <c r="J50" s="160"/>
      <c r="K50" s="335"/>
      <c r="L50" s="162">
        <f t="shared" si="11"/>
        <v>0</v>
      </c>
      <c r="M50" s="335"/>
      <c r="N50" s="162">
        <f t="shared" si="12"/>
        <v>0</v>
      </c>
      <c r="O50" s="162">
        <f t="shared" si="13"/>
        <v>0</v>
      </c>
      <c r="P50" s="4"/>
    </row>
    <row r="51" spans="2:16">
      <c r="B51" s="9" t="str">
        <f t="shared" si="5"/>
        <v/>
      </c>
      <c r="C51" s="157">
        <f>IF(D11="","-",+C50+1)</f>
        <v>2048</v>
      </c>
      <c r="D51" s="163">
        <f>IF(F50+SUM(E$17:E50)=D$10,F50,D$10-SUM(E$17:E50))</f>
        <v>372511.49085470184</v>
      </c>
      <c r="E51" s="164">
        <f t="shared" si="7"/>
        <v>41086.829761904766</v>
      </c>
      <c r="F51" s="163">
        <f t="shared" si="8"/>
        <v>331424.66109279706</v>
      </c>
      <c r="G51" s="165">
        <f t="shared" si="9"/>
        <v>79101.063286875025</v>
      </c>
      <c r="H51" s="147">
        <f t="shared" si="10"/>
        <v>79101.063286875025</v>
      </c>
      <c r="I51" s="160">
        <f t="shared" si="6"/>
        <v>0</v>
      </c>
      <c r="J51" s="160"/>
      <c r="K51" s="335"/>
      <c r="L51" s="162">
        <f t="shared" si="11"/>
        <v>0</v>
      </c>
      <c r="M51" s="335"/>
      <c r="N51" s="162">
        <f t="shared" si="12"/>
        <v>0</v>
      </c>
      <c r="O51" s="162">
        <f t="shared" si="13"/>
        <v>0</v>
      </c>
      <c r="P51" s="4"/>
    </row>
    <row r="52" spans="2:16">
      <c r="B52" s="9" t="str">
        <f t="shared" si="5"/>
        <v/>
      </c>
      <c r="C52" s="157">
        <f>IF(D11="","-",+C51+1)</f>
        <v>2049</v>
      </c>
      <c r="D52" s="163">
        <f>IF(F51+SUM(E$17:E51)=D$10,F51,D$10-SUM(E$17:E51))</f>
        <v>331424.66109279706</v>
      </c>
      <c r="E52" s="164">
        <f t="shared" si="7"/>
        <v>41086.829761904766</v>
      </c>
      <c r="F52" s="163">
        <f t="shared" si="8"/>
        <v>290337.83133089228</v>
      </c>
      <c r="G52" s="165">
        <f t="shared" si="9"/>
        <v>74663.489404503285</v>
      </c>
      <c r="H52" s="147">
        <f t="shared" si="10"/>
        <v>74663.489404503285</v>
      </c>
      <c r="I52" s="160">
        <f t="shared" si="6"/>
        <v>0</v>
      </c>
      <c r="J52" s="160"/>
      <c r="K52" s="335"/>
      <c r="L52" s="162">
        <f t="shared" si="11"/>
        <v>0</v>
      </c>
      <c r="M52" s="335"/>
      <c r="N52" s="162">
        <f t="shared" si="12"/>
        <v>0</v>
      </c>
      <c r="O52" s="162">
        <f t="shared" si="13"/>
        <v>0</v>
      </c>
      <c r="P52" s="4"/>
    </row>
    <row r="53" spans="2:16">
      <c r="B53" s="9" t="str">
        <f t="shared" si="5"/>
        <v/>
      </c>
      <c r="C53" s="157">
        <f>IF(D11="","-",+C52+1)</f>
        <v>2050</v>
      </c>
      <c r="D53" s="163">
        <f>IF(F52+SUM(E$17:E52)=D$10,F52,D$10-SUM(E$17:E52))</f>
        <v>290337.83133089228</v>
      </c>
      <c r="E53" s="164">
        <f t="shared" si="7"/>
        <v>41086.829761904766</v>
      </c>
      <c r="F53" s="163">
        <f t="shared" si="8"/>
        <v>249251.0015689875</v>
      </c>
      <c r="G53" s="165">
        <f t="shared" si="9"/>
        <v>70225.91552213153</v>
      </c>
      <c r="H53" s="147">
        <f t="shared" si="10"/>
        <v>70225.91552213153</v>
      </c>
      <c r="I53" s="160">
        <f t="shared" si="6"/>
        <v>0</v>
      </c>
      <c r="J53" s="160"/>
      <c r="K53" s="335"/>
      <c r="L53" s="162">
        <f t="shared" si="11"/>
        <v>0</v>
      </c>
      <c r="M53" s="335"/>
      <c r="N53" s="162">
        <f t="shared" si="12"/>
        <v>0</v>
      </c>
      <c r="O53" s="162">
        <f t="shared" si="13"/>
        <v>0</v>
      </c>
      <c r="P53" s="4"/>
    </row>
    <row r="54" spans="2:16">
      <c r="B54" s="9" t="str">
        <f t="shared" si="5"/>
        <v/>
      </c>
      <c r="C54" s="157">
        <f>IF(D11="","-",+C53+1)</f>
        <v>2051</v>
      </c>
      <c r="D54" s="163">
        <f>IF(F53+SUM(E$17:E53)=D$10,F53,D$10-SUM(E$17:E53))</f>
        <v>249251.0015689875</v>
      </c>
      <c r="E54" s="164">
        <f t="shared" si="7"/>
        <v>41086.829761904766</v>
      </c>
      <c r="F54" s="163">
        <f t="shared" si="8"/>
        <v>208164.17180708272</v>
      </c>
      <c r="G54" s="165">
        <f t="shared" si="9"/>
        <v>65788.341639759776</v>
      </c>
      <c r="H54" s="147">
        <f t="shared" si="10"/>
        <v>65788.341639759776</v>
      </c>
      <c r="I54" s="160">
        <f t="shared" si="6"/>
        <v>0</v>
      </c>
      <c r="J54" s="160"/>
      <c r="K54" s="335"/>
      <c r="L54" s="162">
        <f t="shared" si="11"/>
        <v>0</v>
      </c>
      <c r="M54" s="335"/>
      <c r="N54" s="162">
        <f t="shared" si="12"/>
        <v>0</v>
      </c>
      <c r="O54" s="162">
        <f t="shared" si="13"/>
        <v>0</v>
      </c>
      <c r="P54" s="4"/>
    </row>
    <row r="55" spans="2:16">
      <c r="B55" s="9" t="str">
        <f t="shared" si="5"/>
        <v/>
      </c>
      <c r="C55" s="157">
        <f>IF(D11="","-",+C54+1)</f>
        <v>2052</v>
      </c>
      <c r="D55" s="163">
        <f>IF(F54+SUM(E$17:E54)=D$10,F54,D$10-SUM(E$17:E54))</f>
        <v>208164.17180708272</v>
      </c>
      <c r="E55" s="164">
        <f t="shared" si="7"/>
        <v>41086.829761904766</v>
      </c>
      <c r="F55" s="163">
        <f t="shared" si="8"/>
        <v>167077.34204517794</v>
      </c>
      <c r="G55" s="165">
        <f t="shared" si="9"/>
        <v>61350.767757388021</v>
      </c>
      <c r="H55" s="147">
        <f t="shared" si="10"/>
        <v>61350.767757388021</v>
      </c>
      <c r="I55" s="160">
        <f t="shared" si="6"/>
        <v>0</v>
      </c>
      <c r="J55" s="160"/>
      <c r="K55" s="335"/>
      <c r="L55" s="162">
        <f t="shared" si="11"/>
        <v>0</v>
      </c>
      <c r="M55" s="335"/>
      <c r="N55" s="162">
        <f t="shared" si="12"/>
        <v>0</v>
      </c>
      <c r="O55" s="162">
        <f t="shared" si="13"/>
        <v>0</v>
      </c>
      <c r="P55" s="4"/>
    </row>
    <row r="56" spans="2:16">
      <c r="B56" s="9" t="str">
        <f t="shared" si="5"/>
        <v/>
      </c>
      <c r="C56" s="157">
        <f>IF(D11="","-",+C55+1)</f>
        <v>2053</v>
      </c>
      <c r="D56" s="163">
        <f>IF(F55+SUM(E$17:E55)=D$10,F55,D$10-SUM(E$17:E55))</f>
        <v>167077.34204517794</v>
      </c>
      <c r="E56" s="164">
        <f t="shared" si="7"/>
        <v>41086.829761904766</v>
      </c>
      <c r="F56" s="163">
        <f t="shared" si="8"/>
        <v>125990.51228327317</v>
      </c>
      <c r="G56" s="165">
        <f t="shared" si="9"/>
        <v>56913.193875016274</v>
      </c>
      <c r="H56" s="147">
        <f t="shared" si="10"/>
        <v>56913.193875016274</v>
      </c>
      <c r="I56" s="160">
        <f t="shared" si="6"/>
        <v>0</v>
      </c>
      <c r="J56" s="160"/>
      <c r="K56" s="335"/>
      <c r="L56" s="162">
        <f t="shared" si="11"/>
        <v>0</v>
      </c>
      <c r="M56" s="335"/>
      <c r="N56" s="162">
        <f t="shared" si="12"/>
        <v>0</v>
      </c>
      <c r="O56" s="162">
        <f t="shared" si="13"/>
        <v>0</v>
      </c>
      <c r="P56" s="4"/>
    </row>
    <row r="57" spans="2:16">
      <c r="B57" s="9" t="str">
        <f t="shared" si="5"/>
        <v/>
      </c>
      <c r="C57" s="157">
        <f>IF(D11="","-",+C56+1)</f>
        <v>2054</v>
      </c>
      <c r="D57" s="163">
        <f>IF(F56+SUM(E$17:E56)=D$10,F56,D$10-SUM(E$17:E56))</f>
        <v>125990.51228327317</v>
      </c>
      <c r="E57" s="164">
        <f t="shared" si="7"/>
        <v>41086.829761904766</v>
      </c>
      <c r="F57" s="163">
        <f t="shared" si="8"/>
        <v>84903.682521368406</v>
      </c>
      <c r="G57" s="165">
        <f t="shared" si="9"/>
        <v>52475.619992644526</v>
      </c>
      <c r="H57" s="147">
        <f t="shared" si="10"/>
        <v>52475.619992644526</v>
      </c>
      <c r="I57" s="160">
        <f t="shared" si="6"/>
        <v>0</v>
      </c>
      <c r="J57" s="160"/>
      <c r="K57" s="335"/>
      <c r="L57" s="162">
        <f t="shared" si="11"/>
        <v>0</v>
      </c>
      <c r="M57" s="335"/>
      <c r="N57" s="162">
        <f t="shared" si="12"/>
        <v>0</v>
      </c>
      <c r="O57" s="162">
        <f t="shared" si="13"/>
        <v>0</v>
      </c>
      <c r="P57" s="4"/>
    </row>
    <row r="58" spans="2:16">
      <c r="B58" s="9" t="str">
        <f t="shared" si="5"/>
        <v/>
      </c>
      <c r="C58" s="157">
        <f>IF(D11="","-",+C57+1)</f>
        <v>2055</v>
      </c>
      <c r="D58" s="163">
        <f>IF(F57+SUM(E$17:E57)=D$10,F57,D$10-SUM(E$17:E57))</f>
        <v>84903.682521368406</v>
      </c>
      <c r="E58" s="164">
        <f t="shared" si="7"/>
        <v>41086.829761904766</v>
      </c>
      <c r="F58" s="163">
        <f t="shared" si="8"/>
        <v>43816.85275946364</v>
      </c>
      <c r="G58" s="165">
        <f t="shared" si="9"/>
        <v>48038.046110272779</v>
      </c>
      <c r="H58" s="147">
        <f t="shared" si="10"/>
        <v>48038.046110272779</v>
      </c>
      <c r="I58" s="160">
        <f t="shared" si="6"/>
        <v>0</v>
      </c>
      <c r="J58" s="160"/>
      <c r="K58" s="335"/>
      <c r="L58" s="162">
        <f t="shared" si="11"/>
        <v>0</v>
      </c>
      <c r="M58" s="335"/>
      <c r="N58" s="162">
        <f t="shared" si="12"/>
        <v>0</v>
      </c>
      <c r="O58" s="162">
        <f t="shared" si="13"/>
        <v>0</v>
      </c>
      <c r="P58" s="4"/>
    </row>
    <row r="59" spans="2:16">
      <c r="B59" s="9" t="str">
        <f t="shared" si="5"/>
        <v/>
      </c>
      <c r="C59" s="157">
        <f>IF(D11="","-",+C58+1)</f>
        <v>2056</v>
      </c>
      <c r="D59" s="163">
        <f>IF(F58+SUM(E$17:E58)=D$10,F58,D$10-SUM(E$17:E58))</f>
        <v>43816.85275946364</v>
      </c>
      <c r="E59" s="164">
        <f t="shared" si="7"/>
        <v>41086.829761904766</v>
      </c>
      <c r="F59" s="163">
        <f t="shared" si="8"/>
        <v>2730.0229975588736</v>
      </c>
      <c r="G59" s="165">
        <f t="shared" si="9"/>
        <v>43600.472227901031</v>
      </c>
      <c r="H59" s="147">
        <f t="shared" si="10"/>
        <v>43600.472227901031</v>
      </c>
      <c r="I59" s="160">
        <f t="shared" si="6"/>
        <v>0</v>
      </c>
      <c r="J59" s="160"/>
      <c r="K59" s="335"/>
      <c r="L59" s="162">
        <f t="shared" si="11"/>
        <v>0</v>
      </c>
      <c r="M59" s="335"/>
      <c r="N59" s="162">
        <f t="shared" si="12"/>
        <v>0</v>
      </c>
      <c r="O59" s="162">
        <f t="shared" si="13"/>
        <v>0</v>
      </c>
      <c r="P59" s="4"/>
    </row>
    <row r="60" spans="2:16">
      <c r="B60" s="9" t="str">
        <f t="shared" si="5"/>
        <v/>
      </c>
      <c r="C60" s="157">
        <f>IF(D11="","-",+C59+1)</f>
        <v>2057</v>
      </c>
      <c r="D60" s="163">
        <f>IF(F59+SUM(E$17:E59)=D$10,F59,D$10-SUM(E$17:E59))</f>
        <v>2730.0229975588736</v>
      </c>
      <c r="E60" s="164">
        <f t="shared" si="7"/>
        <v>2730.0229975588736</v>
      </c>
      <c r="F60" s="163">
        <f t="shared" si="8"/>
        <v>0</v>
      </c>
      <c r="G60" s="165">
        <f t="shared" si="9"/>
        <v>2877.4507599640674</v>
      </c>
      <c r="H60" s="147">
        <f t="shared" si="10"/>
        <v>2877.4507599640674</v>
      </c>
      <c r="I60" s="160">
        <f t="shared" si="6"/>
        <v>0</v>
      </c>
      <c r="J60" s="160"/>
      <c r="K60" s="335"/>
      <c r="L60" s="162">
        <f t="shared" si="11"/>
        <v>0</v>
      </c>
      <c r="M60" s="335"/>
      <c r="N60" s="162">
        <f t="shared" si="12"/>
        <v>0</v>
      </c>
      <c r="O60" s="162">
        <f t="shared" si="13"/>
        <v>0</v>
      </c>
      <c r="P60" s="4"/>
    </row>
    <row r="61" spans="2:16">
      <c r="B61" s="9" t="str">
        <f t="shared" si="5"/>
        <v/>
      </c>
      <c r="C61" s="157">
        <f>IF(D11="","-",+C60+1)</f>
        <v>2058</v>
      </c>
      <c r="D61" s="163">
        <f>IF(F60+SUM(E$17:E60)=D$10,F60,D$10-SUM(E$17:E60))</f>
        <v>0</v>
      </c>
      <c r="E61" s="164">
        <f t="shared" si="7"/>
        <v>0</v>
      </c>
      <c r="F61" s="163">
        <f t="shared" si="8"/>
        <v>0</v>
      </c>
      <c r="G61" s="165">
        <f t="shared" si="9"/>
        <v>0</v>
      </c>
      <c r="H61" s="147">
        <f t="shared" si="10"/>
        <v>0</v>
      </c>
      <c r="I61" s="160">
        <f t="shared" si="6"/>
        <v>0</v>
      </c>
      <c r="J61" s="160"/>
      <c r="K61" s="335"/>
      <c r="L61" s="162">
        <f t="shared" si="11"/>
        <v>0</v>
      </c>
      <c r="M61" s="335"/>
      <c r="N61" s="162">
        <f t="shared" si="12"/>
        <v>0</v>
      </c>
      <c r="O61" s="162">
        <f t="shared" si="13"/>
        <v>0</v>
      </c>
      <c r="P61" s="4"/>
    </row>
    <row r="62" spans="2:16">
      <c r="B62" s="9" t="str">
        <f t="shared" si="5"/>
        <v/>
      </c>
      <c r="C62" s="157">
        <f>IF(D11="","-",+C61+1)</f>
        <v>2059</v>
      </c>
      <c r="D62" s="163">
        <f>IF(F61+SUM(E$17:E61)=D$10,F61,D$10-SUM(E$17:E61))</f>
        <v>0</v>
      </c>
      <c r="E62" s="164">
        <f t="shared" si="7"/>
        <v>0</v>
      </c>
      <c r="F62" s="163">
        <f t="shared" si="8"/>
        <v>0</v>
      </c>
      <c r="G62" s="165">
        <f t="shared" si="9"/>
        <v>0</v>
      </c>
      <c r="H62" s="147">
        <f t="shared" si="10"/>
        <v>0</v>
      </c>
      <c r="I62" s="160">
        <f t="shared" si="6"/>
        <v>0</v>
      </c>
      <c r="J62" s="160"/>
      <c r="K62" s="335"/>
      <c r="L62" s="162">
        <f t="shared" si="11"/>
        <v>0</v>
      </c>
      <c r="M62" s="335"/>
      <c r="N62" s="162">
        <f t="shared" si="12"/>
        <v>0</v>
      </c>
      <c r="O62" s="162">
        <f t="shared" si="13"/>
        <v>0</v>
      </c>
      <c r="P62" s="4"/>
    </row>
    <row r="63" spans="2:16">
      <c r="B63" s="9" t="str">
        <f t="shared" si="5"/>
        <v/>
      </c>
      <c r="C63" s="157">
        <f>IF(D11="","-",+C62+1)</f>
        <v>2060</v>
      </c>
      <c r="D63" s="163">
        <f>IF(F62+SUM(E$17:E62)=D$10,F62,D$10-SUM(E$17:E62))</f>
        <v>0</v>
      </c>
      <c r="E63" s="164">
        <f t="shared" si="7"/>
        <v>0</v>
      </c>
      <c r="F63" s="163">
        <f t="shared" si="8"/>
        <v>0</v>
      </c>
      <c r="G63" s="165">
        <f t="shared" si="9"/>
        <v>0</v>
      </c>
      <c r="H63" s="147">
        <f t="shared" si="10"/>
        <v>0</v>
      </c>
      <c r="I63" s="160">
        <f t="shared" si="6"/>
        <v>0</v>
      </c>
      <c r="J63" s="160"/>
      <c r="K63" s="335"/>
      <c r="L63" s="162">
        <f t="shared" si="11"/>
        <v>0</v>
      </c>
      <c r="M63" s="335"/>
      <c r="N63" s="162">
        <f t="shared" si="12"/>
        <v>0</v>
      </c>
      <c r="O63" s="162">
        <f t="shared" si="13"/>
        <v>0</v>
      </c>
      <c r="P63" s="4"/>
    </row>
    <row r="64" spans="2:16">
      <c r="B64" s="9" t="str">
        <f t="shared" si="5"/>
        <v/>
      </c>
      <c r="C64" s="157">
        <f>IF(D11="","-",+C63+1)</f>
        <v>2061</v>
      </c>
      <c r="D64" s="163">
        <f>IF(F63+SUM(E$17:E63)=D$10,F63,D$10-SUM(E$17:E63))</f>
        <v>0</v>
      </c>
      <c r="E64" s="164">
        <f t="shared" si="7"/>
        <v>0</v>
      </c>
      <c r="F64" s="163">
        <f t="shared" si="8"/>
        <v>0</v>
      </c>
      <c r="G64" s="165">
        <f t="shared" si="9"/>
        <v>0</v>
      </c>
      <c r="H64" s="147">
        <f t="shared" si="10"/>
        <v>0</v>
      </c>
      <c r="I64" s="160">
        <f t="shared" si="6"/>
        <v>0</v>
      </c>
      <c r="J64" s="160"/>
      <c r="K64" s="335"/>
      <c r="L64" s="162">
        <f t="shared" si="11"/>
        <v>0</v>
      </c>
      <c r="M64" s="335"/>
      <c r="N64" s="162">
        <f t="shared" si="12"/>
        <v>0</v>
      </c>
      <c r="O64" s="162">
        <f t="shared" si="13"/>
        <v>0</v>
      </c>
      <c r="P64" s="4"/>
    </row>
    <row r="65" spans="2:16">
      <c r="B65" s="9" t="str">
        <f t="shared" si="5"/>
        <v/>
      </c>
      <c r="C65" s="157">
        <f>IF(D11="","-",+C64+1)</f>
        <v>2062</v>
      </c>
      <c r="D65" s="163">
        <f>IF(F64+SUM(E$17:E64)=D$10,F64,D$10-SUM(E$17:E64))</f>
        <v>0</v>
      </c>
      <c r="E65" s="164">
        <f t="shared" si="7"/>
        <v>0</v>
      </c>
      <c r="F65" s="163">
        <f t="shared" si="8"/>
        <v>0</v>
      </c>
      <c r="G65" s="165">
        <f t="shared" si="9"/>
        <v>0</v>
      </c>
      <c r="H65" s="147">
        <f t="shared" si="10"/>
        <v>0</v>
      </c>
      <c r="I65" s="160">
        <f t="shared" si="6"/>
        <v>0</v>
      </c>
      <c r="J65" s="160"/>
      <c r="K65" s="335"/>
      <c r="L65" s="162">
        <f t="shared" si="11"/>
        <v>0</v>
      </c>
      <c r="M65" s="335"/>
      <c r="N65" s="162">
        <f t="shared" si="12"/>
        <v>0</v>
      </c>
      <c r="O65" s="162">
        <f t="shared" si="13"/>
        <v>0</v>
      </c>
      <c r="P65" s="4"/>
    </row>
    <row r="66" spans="2:16">
      <c r="B66" s="9" t="str">
        <f t="shared" si="5"/>
        <v/>
      </c>
      <c r="C66" s="157">
        <f>IF(D11="","-",+C65+1)</f>
        <v>2063</v>
      </c>
      <c r="D66" s="163">
        <f>IF(F65+SUM(E$17:E65)=D$10,F65,D$10-SUM(E$17:E65))</f>
        <v>0</v>
      </c>
      <c r="E66" s="164">
        <f t="shared" si="7"/>
        <v>0</v>
      </c>
      <c r="F66" s="163">
        <f t="shared" si="8"/>
        <v>0</v>
      </c>
      <c r="G66" s="165">
        <f t="shared" si="9"/>
        <v>0</v>
      </c>
      <c r="H66" s="147">
        <f t="shared" si="10"/>
        <v>0</v>
      </c>
      <c r="I66" s="160">
        <f t="shared" si="6"/>
        <v>0</v>
      </c>
      <c r="J66" s="160"/>
      <c r="K66" s="335"/>
      <c r="L66" s="162">
        <f t="shared" si="11"/>
        <v>0</v>
      </c>
      <c r="M66" s="335"/>
      <c r="N66" s="162">
        <f t="shared" si="12"/>
        <v>0</v>
      </c>
      <c r="O66" s="162">
        <f t="shared" si="13"/>
        <v>0</v>
      </c>
      <c r="P66" s="4"/>
    </row>
    <row r="67" spans="2:16">
      <c r="B67" s="9" t="str">
        <f t="shared" si="5"/>
        <v/>
      </c>
      <c r="C67" s="157">
        <f>IF(D11="","-",+C66+1)</f>
        <v>2064</v>
      </c>
      <c r="D67" s="163">
        <f>IF(F66+SUM(E$17:E66)=D$10,F66,D$10-SUM(E$17:E66))</f>
        <v>0</v>
      </c>
      <c r="E67" s="164">
        <f t="shared" si="7"/>
        <v>0</v>
      </c>
      <c r="F67" s="163">
        <f t="shared" si="8"/>
        <v>0</v>
      </c>
      <c r="G67" s="165">
        <f t="shared" si="9"/>
        <v>0</v>
      </c>
      <c r="H67" s="147">
        <f t="shared" si="10"/>
        <v>0</v>
      </c>
      <c r="I67" s="160">
        <f t="shared" si="6"/>
        <v>0</v>
      </c>
      <c r="J67" s="160"/>
      <c r="K67" s="335"/>
      <c r="L67" s="162">
        <f t="shared" si="11"/>
        <v>0</v>
      </c>
      <c r="M67" s="335"/>
      <c r="N67" s="162">
        <f t="shared" si="12"/>
        <v>0</v>
      </c>
      <c r="O67" s="162">
        <f t="shared" si="13"/>
        <v>0</v>
      </c>
      <c r="P67" s="4"/>
    </row>
    <row r="68" spans="2:16">
      <c r="B68" s="9" t="str">
        <f t="shared" si="5"/>
        <v/>
      </c>
      <c r="C68" s="157">
        <f>IF(D11="","-",+C67+1)</f>
        <v>2065</v>
      </c>
      <c r="D68" s="163">
        <f>IF(F67+SUM(E$17:E67)=D$10,F67,D$10-SUM(E$17:E67))</f>
        <v>0</v>
      </c>
      <c r="E68" s="164">
        <f t="shared" si="7"/>
        <v>0</v>
      </c>
      <c r="F68" s="163">
        <f t="shared" si="8"/>
        <v>0</v>
      </c>
      <c r="G68" s="165">
        <f t="shared" si="9"/>
        <v>0</v>
      </c>
      <c r="H68" s="147">
        <f t="shared" si="10"/>
        <v>0</v>
      </c>
      <c r="I68" s="160">
        <f t="shared" si="6"/>
        <v>0</v>
      </c>
      <c r="J68" s="160"/>
      <c r="K68" s="335"/>
      <c r="L68" s="162">
        <f t="shared" si="11"/>
        <v>0</v>
      </c>
      <c r="M68" s="335"/>
      <c r="N68" s="162">
        <f t="shared" si="12"/>
        <v>0</v>
      </c>
      <c r="O68" s="162">
        <f t="shared" si="13"/>
        <v>0</v>
      </c>
      <c r="P68" s="4"/>
    </row>
    <row r="69" spans="2:16">
      <c r="B69" s="9" t="str">
        <f t="shared" si="5"/>
        <v/>
      </c>
      <c r="C69" s="157">
        <f>IF(D11="","-",+C68+1)</f>
        <v>2066</v>
      </c>
      <c r="D69" s="163">
        <f>IF(F68+SUM(E$17:E68)=D$10,F68,D$10-SUM(E$17:E68))</f>
        <v>0</v>
      </c>
      <c r="E69" s="164">
        <f t="shared" si="7"/>
        <v>0</v>
      </c>
      <c r="F69" s="163">
        <f t="shared" si="8"/>
        <v>0</v>
      </c>
      <c r="G69" s="165">
        <f t="shared" si="9"/>
        <v>0</v>
      </c>
      <c r="H69" s="147">
        <f t="shared" si="10"/>
        <v>0</v>
      </c>
      <c r="I69" s="160">
        <f t="shared" si="6"/>
        <v>0</v>
      </c>
      <c r="J69" s="160"/>
      <c r="K69" s="335"/>
      <c r="L69" s="162">
        <f t="shared" si="11"/>
        <v>0</v>
      </c>
      <c r="M69" s="335"/>
      <c r="N69" s="162">
        <f t="shared" si="12"/>
        <v>0</v>
      </c>
      <c r="O69" s="162">
        <f t="shared" si="13"/>
        <v>0</v>
      </c>
      <c r="P69" s="4"/>
    </row>
    <row r="70" spans="2:16">
      <c r="B70" s="9" t="str">
        <f t="shared" si="5"/>
        <v/>
      </c>
      <c r="C70" s="157">
        <f>IF(D11="","-",+C69+1)</f>
        <v>2067</v>
      </c>
      <c r="D70" s="163">
        <f>IF(F69+SUM(E$17:E69)=D$10,F69,D$10-SUM(E$17:E69))</f>
        <v>0</v>
      </c>
      <c r="E70" s="164">
        <f t="shared" si="7"/>
        <v>0</v>
      </c>
      <c r="F70" s="163">
        <f t="shared" si="8"/>
        <v>0</v>
      </c>
      <c r="G70" s="165">
        <f t="shared" si="9"/>
        <v>0</v>
      </c>
      <c r="H70" s="147">
        <f t="shared" si="10"/>
        <v>0</v>
      </c>
      <c r="I70" s="160">
        <f t="shared" si="6"/>
        <v>0</v>
      </c>
      <c r="J70" s="160"/>
      <c r="K70" s="335"/>
      <c r="L70" s="162">
        <f t="shared" si="11"/>
        <v>0</v>
      </c>
      <c r="M70" s="335"/>
      <c r="N70" s="162">
        <f t="shared" si="12"/>
        <v>0</v>
      </c>
      <c r="O70" s="162">
        <f t="shared" si="13"/>
        <v>0</v>
      </c>
      <c r="P70" s="4"/>
    </row>
    <row r="71" spans="2:16">
      <c r="B71" s="9" t="str">
        <f t="shared" si="5"/>
        <v/>
      </c>
      <c r="C71" s="157">
        <f>IF(D11="","-",+C70+1)</f>
        <v>2068</v>
      </c>
      <c r="D71" s="163">
        <f>IF(F70+SUM(E$17:E70)=D$10,F70,D$10-SUM(E$17:E70))</f>
        <v>0</v>
      </c>
      <c r="E71" s="164">
        <f t="shared" si="7"/>
        <v>0</v>
      </c>
      <c r="F71" s="163">
        <f t="shared" si="8"/>
        <v>0</v>
      </c>
      <c r="G71" s="165">
        <f t="shared" si="9"/>
        <v>0</v>
      </c>
      <c r="H71" s="147">
        <f t="shared" si="10"/>
        <v>0</v>
      </c>
      <c r="I71" s="160">
        <f t="shared" si="6"/>
        <v>0</v>
      </c>
      <c r="J71" s="160"/>
      <c r="K71" s="335"/>
      <c r="L71" s="162">
        <f t="shared" si="11"/>
        <v>0</v>
      </c>
      <c r="M71" s="335"/>
      <c r="N71" s="162">
        <f t="shared" si="12"/>
        <v>0</v>
      </c>
      <c r="O71" s="162">
        <f t="shared" si="13"/>
        <v>0</v>
      </c>
      <c r="P71" s="4"/>
    </row>
    <row r="72" spans="2:16" ht="13.5" thickBot="1">
      <c r="B72" s="9" t="str">
        <f t="shared" si="5"/>
        <v/>
      </c>
      <c r="C72" s="168">
        <f>IF(D11="","-",+C71+1)</f>
        <v>2069</v>
      </c>
      <c r="D72" s="169">
        <f>IF(F71+SUM(E$17:E71)=D$10,F71,D$10-SUM(E$17:E71))</f>
        <v>0</v>
      </c>
      <c r="E72" s="170">
        <f t="shared" si="7"/>
        <v>0</v>
      </c>
      <c r="F72" s="169">
        <f t="shared" si="8"/>
        <v>0</v>
      </c>
      <c r="G72" s="169">
        <f t="shared" si="9"/>
        <v>0</v>
      </c>
      <c r="H72" s="169">
        <f t="shared" si="10"/>
        <v>0</v>
      </c>
      <c r="I72" s="172">
        <f t="shared" si="6"/>
        <v>0</v>
      </c>
      <c r="J72" s="160"/>
      <c r="K72" s="336"/>
      <c r="L72" s="173">
        <f t="shared" si="11"/>
        <v>0</v>
      </c>
      <c r="M72" s="336"/>
      <c r="N72" s="173">
        <f t="shared" si="12"/>
        <v>0</v>
      </c>
      <c r="O72" s="173">
        <f t="shared" si="13"/>
        <v>0</v>
      </c>
      <c r="P72" s="4"/>
    </row>
    <row r="73" spans="2:16">
      <c r="C73" s="158" t="s">
        <v>72</v>
      </c>
      <c r="D73" s="115"/>
      <c r="E73" s="115">
        <f>SUM(E17:E72)</f>
        <v>1725646.8499999996</v>
      </c>
      <c r="F73" s="115"/>
      <c r="G73" s="115">
        <f>SUM(G17:G72)</f>
        <v>6074725.3753185049</v>
      </c>
      <c r="H73" s="115">
        <f>SUM(H17:H72)</f>
        <v>6074725.3753185049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18 of 28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2018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249645.70777777777</v>
      </c>
      <c r="N87" s="202">
        <f>IF(J92&lt;D11,0,VLOOKUP(J92,C17:O72,11))</f>
        <v>249645.70777777777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204281.22089486517</v>
      </c>
      <c r="N88" s="204">
        <f>IF(J92&lt;D11,0,VLOOKUP(J92,C99:P154,7))</f>
        <v>204281.22089486517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Darlington-Red Rock 138 kV line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-45364.486882912606</v>
      </c>
      <c r="N89" s="207">
        <f>+N88-N87</f>
        <v>-45364.486882912606</v>
      </c>
      <c r="O89" s="208">
        <f>+O88-O87</f>
        <v>0</v>
      </c>
      <c r="P89" s="1"/>
    </row>
    <row r="90" spans="1:16" ht="13.5" thickBot="1">
      <c r="C90" s="174"/>
      <c r="D90" s="446" t="s">
        <v>265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 t="str">
        <f>+D9</f>
        <v>TP2012112</v>
      </c>
      <c r="E91" s="210" t="str">
        <f>E9</f>
        <v xml:space="preserve">  SPP Project ID = 30746</v>
      </c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450">
        <v>1725647</v>
      </c>
      <c r="E92" s="22" t="s">
        <v>89</v>
      </c>
      <c r="H92" s="139"/>
      <c r="I92" s="139"/>
      <c r="J92" s="140">
        <f>+'PSO.WS.G.BPU.ATRR.True-up'!M16</f>
        <v>2018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2014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4</v>
      </c>
      <c r="E94" s="141" t="s">
        <v>51</v>
      </c>
      <c r="F94" s="139"/>
      <c r="G94" s="139"/>
      <c r="J94" s="145">
        <f>'PSO.WS.G.BPU.ATRR.True-up'!$F$81</f>
        <v>0.10273556682691798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43</v>
      </c>
      <c r="E95" s="141" t="s">
        <v>54</v>
      </c>
      <c r="F95" s="139"/>
      <c r="G95" s="139"/>
      <c r="J95" s="145">
        <f>IF(H87="",J94,'PSO.WS.G.BPU.ATRR.True-up'!$F$80)</f>
        <v>0.10273556682691798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40131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277</v>
      </c>
      <c r="I97" s="339" t="s">
        <v>278</v>
      </c>
      <c r="J97" s="214" t="s">
        <v>93</v>
      </c>
      <c r="K97" s="216"/>
      <c r="L97" s="151" t="s">
        <v>97</v>
      </c>
      <c r="M97" s="151" t="s">
        <v>94</v>
      </c>
      <c r="N97" s="151" t="s">
        <v>97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2014</v>
      </c>
      <c r="D99" s="435"/>
      <c r="E99" s="436"/>
      <c r="F99" s="437"/>
      <c r="G99" s="447"/>
      <c r="H99" s="448"/>
      <c r="I99" s="449"/>
      <c r="J99" s="162">
        <v>0</v>
      </c>
      <c r="K99" s="162"/>
      <c r="L99" s="338">
        <f>H99</f>
        <v>0</v>
      </c>
      <c r="M99" s="175">
        <f>IF(L99&lt;&gt;0,+H99-L99,0)</f>
        <v>0</v>
      </c>
      <c r="N99" s="338">
        <f>I99</f>
        <v>0</v>
      </c>
      <c r="O99" s="160">
        <f>IF(N99&lt;&gt;0,+I99-N99,0)</f>
        <v>0</v>
      </c>
      <c r="P99" s="162">
        <f>+O99-M99</f>
        <v>0</v>
      </c>
    </row>
    <row r="100" spans="1:16">
      <c r="B100" s="9" t="str">
        <f>IF(D100=F99,"","IU")</f>
        <v>IU</v>
      </c>
      <c r="C100" s="157">
        <f>IF(D93="","-",+C99+1)</f>
        <v>2015</v>
      </c>
      <c r="D100" s="419">
        <v>1703523.1724358976</v>
      </c>
      <c r="E100" s="420">
        <v>32760</v>
      </c>
      <c r="F100" s="419">
        <v>1670763.1724358976</v>
      </c>
      <c r="G100" s="420">
        <v>1687143.1724358976</v>
      </c>
      <c r="H100" s="424">
        <v>262957.1205792831</v>
      </c>
      <c r="I100" s="419">
        <v>262957.1205792831</v>
      </c>
      <c r="J100" s="162">
        <f>+I100-H100</f>
        <v>0</v>
      </c>
      <c r="K100" s="162"/>
      <c r="L100" s="338">
        <f>H100</f>
        <v>262957.1205792831</v>
      </c>
      <c r="M100" s="175">
        <f>IF(L100&lt;&gt;0,+H100-L100,0)</f>
        <v>0</v>
      </c>
      <c r="N100" s="338">
        <f>I100</f>
        <v>262957.1205792831</v>
      </c>
      <c r="O100" s="160">
        <f>IF(N100&lt;&gt;0,+I100-N100,0)</f>
        <v>0</v>
      </c>
      <c r="P100" s="162">
        <f>+O100-M100</f>
        <v>0</v>
      </c>
    </row>
    <row r="101" spans="1:16">
      <c r="B101" s="9" t="str">
        <f t="shared" ref="B101:B154" si="14">IF(D101=F100,"","IU")</f>
        <v>IU</v>
      </c>
      <c r="C101" s="157">
        <f>IF(D93="","-",+C100+1)</f>
        <v>2016</v>
      </c>
      <c r="D101" s="419">
        <v>1692887</v>
      </c>
      <c r="E101" s="420">
        <v>37514</v>
      </c>
      <c r="F101" s="419">
        <v>1655373</v>
      </c>
      <c r="G101" s="420">
        <v>1674130</v>
      </c>
      <c r="H101" s="424">
        <v>253335.72266301585</v>
      </c>
      <c r="I101" s="419">
        <v>253335.72266301585</v>
      </c>
      <c r="J101" s="162">
        <v>0</v>
      </c>
      <c r="K101" s="162"/>
      <c r="L101" s="338">
        <f>H101</f>
        <v>253335.72266301585</v>
      </c>
      <c r="M101" s="175">
        <f>IF(L101&lt;&gt;0,+H101-L101,0)</f>
        <v>0</v>
      </c>
      <c r="N101" s="338">
        <f>I101</f>
        <v>253335.72266301585</v>
      </c>
      <c r="O101" s="160">
        <f>IF(N101&lt;&gt;0,+I101-N101,0)</f>
        <v>0</v>
      </c>
      <c r="P101" s="162">
        <f>+O101-M101</f>
        <v>0</v>
      </c>
    </row>
    <row r="102" spans="1:16">
      <c r="B102" s="9" t="str">
        <f t="shared" si="14"/>
        <v/>
      </c>
      <c r="C102" s="157">
        <f>IF(D93="","-",+C101+1)</f>
        <v>2017</v>
      </c>
      <c r="D102" s="419">
        <v>1655373</v>
      </c>
      <c r="E102" s="420">
        <v>37514</v>
      </c>
      <c r="F102" s="419">
        <v>1617859</v>
      </c>
      <c r="G102" s="420">
        <v>1636616</v>
      </c>
      <c r="H102" s="424">
        <v>245122.86632871011</v>
      </c>
      <c r="I102" s="419">
        <v>245122.86632871011</v>
      </c>
      <c r="J102" s="162">
        <f t="shared" ref="J102:J154" si="15">+I102-H102</f>
        <v>0</v>
      </c>
      <c r="K102" s="162"/>
      <c r="L102" s="338">
        <f>H102</f>
        <v>245122.86632871011</v>
      </c>
      <c r="M102" s="175">
        <f>IF(L102&lt;&gt;0,+H102-L102,0)</f>
        <v>0</v>
      </c>
      <c r="N102" s="338">
        <f>I102</f>
        <v>245122.86632871011</v>
      </c>
      <c r="O102" s="160">
        <f>IF(N102&lt;&gt;0,+I102-N102,0)</f>
        <v>0</v>
      </c>
      <c r="P102" s="162">
        <f>+O102-M102</f>
        <v>0</v>
      </c>
    </row>
    <row r="103" spans="1:16">
      <c r="B103" s="9" t="str">
        <f t="shared" si="14"/>
        <v/>
      </c>
      <c r="C103" s="157">
        <f>IF(D93="","-",+C102+1)</f>
        <v>2018</v>
      </c>
      <c r="D103" s="158">
        <f>IF(F102+SUM(E$99:E102)=D$92,F102,D$92-SUM(E$99:E102))</f>
        <v>1617859</v>
      </c>
      <c r="E103" s="164">
        <f t="shared" ref="E103:E154" si="16">IF(+J$96&lt;F102,J$96,D103)</f>
        <v>40131</v>
      </c>
      <c r="F103" s="163">
        <f t="shared" ref="F103:F154" si="17">+D103-E103</f>
        <v>1577728</v>
      </c>
      <c r="G103" s="163">
        <f t="shared" ref="G103:G154" si="18">+(F103+D103)/2</f>
        <v>1597793.5</v>
      </c>
      <c r="H103" s="167">
        <f t="shared" ref="H103:H154" si="19">+J$94*G103+E103</f>
        <v>204281.22089486517</v>
      </c>
      <c r="I103" s="317">
        <f t="shared" ref="I103:I154" si="20">+J$95*G103+E103</f>
        <v>204281.22089486517</v>
      </c>
      <c r="J103" s="162">
        <f t="shared" si="15"/>
        <v>0</v>
      </c>
      <c r="K103" s="162"/>
      <c r="L103" s="335"/>
      <c r="M103" s="162">
        <f t="shared" ref="M103:M130" si="21">IF(L103&lt;&gt;0,+H103-L103,0)</f>
        <v>0</v>
      </c>
      <c r="N103" s="335"/>
      <c r="O103" s="162">
        <f t="shared" ref="O103:O130" si="22">IF(N103&lt;&gt;0,+I103-N103,0)</f>
        <v>0</v>
      </c>
      <c r="P103" s="162">
        <f t="shared" ref="P103:P130" si="23">+O103-M103</f>
        <v>0</v>
      </c>
    </row>
    <row r="104" spans="1:16">
      <c r="B104" s="9" t="str">
        <f t="shared" si="14"/>
        <v/>
      </c>
      <c r="C104" s="157">
        <f>IF(D93="","-",+C103+1)</f>
        <v>2019</v>
      </c>
      <c r="D104" s="158">
        <f>IF(F103+SUM(E$99:E103)=D$92,F103,D$92-SUM(E$99:E103))</f>
        <v>1577728</v>
      </c>
      <c r="E104" s="164">
        <f t="shared" si="16"/>
        <v>40131</v>
      </c>
      <c r="F104" s="163">
        <f t="shared" si="17"/>
        <v>1537597</v>
      </c>
      <c r="G104" s="163">
        <f t="shared" si="18"/>
        <v>1557662.5</v>
      </c>
      <c r="H104" s="167">
        <f t="shared" si="19"/>
        <v>200158.33986253414</v>
      </c>
      <c r="I104" s="317">
        <f t="shared" si="20"/>
        <v>200158.33986253414</v>
      </c>
      <c r="J104" s="162">
        <f t="shared" si="15"/>
        <v>0</v>
      </c>
      <c r="K104" s="162"/>
      <c r="L104" s="335"/>
      <c r="M104" s="162">
        <f t="shared" si="21"/>
        <v>0</v>
      </c>
      <c r="N104" s="335"/>
      <c r="O104" s="162">
        <f t="shared" si="22"/>
        <v>0</v>
      </c>
      <c r="P104" s="162">
        <f t="shared" si="23"/>
        <v>0</v>
      </c>
    </row>
    <row r="105" spans="1:16">
      <c r="B105" s="9" t="str">
        <f t="shared" si="14"/>
        <v/>
      </c>
      <c r="C105" s="157">
        <f>IF(D93="","-",+C104+1)</f>
        <v>2020</v>
      </c>
      <c r="D105" s="158">
        <f>IF(F104+SUM(E$99:E104)=D$92,F104,D$92-SUM(E$99:E104))</f>
        <v>1537597</v>
      </c>
      <c r="E105" s="164">
        <f t="shared" si="16"/>
        <v>40131</v>
      </c>
      <c r="F105" s="163">
        <f t="shared" si="17"/>
        <v>1497466</v>
      </c>
      <c r="G105" s="163">
        <f t="shared" si="18"/>
        <v>1517531.5</v>
      </c>
      <c r="H105" s="167">
        <f t="shared" si="19"/>
        <v>196035.45883020308</v>
      </c>
      <c r="I105" s="317">
        <f t="shared" si="20"/>
        <v>196035.45883020308</v>
      </c>
      <c r="J105" s="162">
        <f t="shared" si="15"/>
        <v>0</v>
      </c>
      <c r="K105" s="162"/>
      <c r="L105" s="335"/>
      <c r="M105" s="162">
        <f t="shared" si="21"/>
        <v>0</v>
      </c>
      <c r="N105" s="335"/>
      <c r="O105" s="162">
        <f t="shared" si="22"/>
        <v>0</v>
      </c>
      <c r="P105" s="162">
        <f t="shared" si="23"/>
        <v>0</v>
      </c>
    </row>
    <row r="106" spans="1:16">
      <c r="B106" s="9" t="str">
        <f t="shared" si="14"/>
        <v/>
      </c>
      <c r="C106" s="157">
        <f>IF(D93="","-",+C105+1)</f>
        <v>2021</v>
      </c>
      <c r="D106" s="158">
        <f>IF(F105+SUM(E$99:E105)=D$92,F105,D$92-SUM(E$99:E105))</f>
        <v>1497466</v>
      </c>
      <c r="E106" s="164">
        <f t="shared" si="16"/>
        <v>40131</v>
      </c>
      <c r="F106" s="163">
        <f t="shared" si="17"/>
        <v>1457335</v>
      </c>
      <c r="G106" s="163">
        <f t="shared" si="18"/>
        <v>1477400.5</v>
      </c>
      <c r="H106" s="167">
        <f t="shared" si="19"/>
        <v>191912.57779787204</v>
      </c>
      <c r="I106" s="317">
        <f t="shared" si="20"/>
        <v>191912.57779787204</v>
      </c>
      <c r="J106" s="162">
        <f t="shared" si="15"/>
        <v>0</v>
      </c>
      <c r="K106" s="162"/>
      <c r="L106" s="335"/>
      <c r="M106" s="162">
        <f t="shared" si="21"/>
        <v>0</v>
      </c>
      <c r="N106" s="335"/>
      <c r="O106" s="162">
        <f t="shared" si="22"/>
        <v>0</v>
      </c>
      <c r="P106" s="162">
        <f t="shared" si="23"/>
        <v>0</v>
      </c>
    </row>
    <row r="107" spans="1:16">
      <c r="B107" s="9" t="str">
        <f t="shared" si="14"/>
        <v/>
      </c>
      <c r="C107" s="157">
        <f>IF(D93="","-",+C106+1)</f>
        <v>2022</v>
      </c>
      <c r="D107" s="158">
        <f>IF(F106+SUM(E$99:E106)=D$92,F106,D$92-SUM(E$99:E106))</f>
        <v>1457335</v>
      </c>
      <c r="E107" s="164">
        <f t="shared" si="16"/>
        <v>40131</v>
      </c>
      <c r="F107" s="163">
        <f t="shared" si="17"/>
        <v>1417204</v>
      </c>
      <c r="G107" s="163">
        <f t="shared" si="18"/>
        <v>1437269.5</v>
      </c>
      <c r="H107" s="167">
        <f t="shared" si="19"/>
        <v>187789.69676554098</v>
      </c>
      <c r="I107" s="317">
        <f t="shared" si="20"/>
        <v>187789.69676554098</v>
      </c>
      <c r="J107" s="162">
        <f t="shared" si="15"/>
        <v>0</v>
      </c>
      <c r="K107" s="162"/>
      <c r="L107" s="335"/>
      <c r="M107" s="162">
        <f t="shared" si="21"/>
        <v>0</v>
      </c>
      <c r="N107" s="335"/>
      <c r="O107" s="162">
        <f t="shared" si="22"/>
        <v>0</v>
      </c>
      <c r="P107" s="162">
        <f t="shared" si="23"/>
        <v>0</v>
      </c>
    </row>
    <row r="108" spans="1:16">
      <c r="B108" s="9" t="str">
        <f t="shared" si="14"/>
        <v/>
      </c>
      <c r="C108" s="157">
        <f>IF(D93="","-",+C107+1)</f>
        <v>2023</v>
      </c>
      <c r="D108" s="158">
        <f>IF(F107+SUM(E$99:E107)=D$92,F107,D$92-SUM(E$99:E107))</f>
        <v>1417204</v>
      </c>
      <c r="E108" s="164">
        <f t="shared" si="16"/>
        <v>40131</v>
      </c>
      <c r="F108" s="163">
        <f t="shared" si="17"/>
        <v>1377073</v>
      </c>
      <c r="G108" s="163">
        <f t="shared" si="18"/>
        <v>1397138.5</v>
      </c>
      <c r="H108" s="167">
        <f t="shared" si="19"/>
        <v>183666.81573320995</v>
      </c>
      <c r="I108" s="317">
        <f t="shared" si="20"/>
        <v>183666.81573320995</v>
      </c>
      <c r="J108" s="162">
        <f t="shared" si="15"/>
        <v>0</v>
      </c>
      <c r="K108" s="162"/>
      <c r="L108" s="335"/>
      <c r="M108" s="162">
        <f t="shared" si="21"/>
        <v>0</v>
      </c>
      <c r="N108" s="335"/>
      <c r="O108" s="162">
        <f t="shared" si="22"/>
        <v>0</v>
      </c>
      <c r="P108" s="162">
        <f t="shared" si="23"/>
        <v>0</v>
      </c>
    </row>
    <row r="109" spans="1:16">
      <c r="B109" s="9" t="str">
        <f t="shared" si="14"/>
        <v/>
      </c>
      <c r="C109" s="157">
        <f>IF(D93="","-",+C108+1)</f>
        <v>2024</v>
      </c>
      <c r="D109" s="158">
        <f>IF(F108+SUM(E$99:E108)=D$92,F108,D$92-SUM(E$99:E108))</f>
        <v>1377073</v>
      </c>
      <c r="E109" s="164">
        <f t="shared" si="16"/>
        <v>40131</v>
      </c>
      <c r="F109" s="163">
        <f t="shared" si="17"/>
        <v>1336942</v>
      </c>
      <c r="G109" s="163">
        <f t="shared" si="18"/>
        <v>1357007.5</v>
      </c>
      <c r="H109" s="167">
        <f t="shared" si="19"/>
        <v>179543.93470087889</v>
      </c>
      <c r="I109" s="317">
        <f t="shared" si="20"/>
        <v>179543.93470087889</v>
      </c>
      <c r="J109" s="162">
        <f t="shared" si="15"/>
        <v>0</v>
      </c>
      <c r="K109" s="162"/>
      <c r="L109" s="335"/>
      <c r="M109" s="162">
        <f t="shared" si="21"/>
        <v>0</v>
      </c>
      <c r="N109" s="335"/>
      <c r="O109" s="162">
        <f t="shared" si="22"/>
        <v>0</v>
      </c>
      <c r="P109" s="162">
        <f t="shared" si="23"/>
        <v>0</v>
      </c>
    </row>
    <row r="110" spans="1:16">
      <c r="B110" s="9" t="str">
        <f t="shared" si="14"/>
        <v/>
      </c>
      <c r="C110" s="157">
        <f>IF(D93="","-",+C109+1)</f>
        <v>2025</v>
      </c>
      <c r="D110" s="158">
        <f>IF(F109+SUM(E$99:E109)=D$92,F109,D$92-SUM(E$99:E109))</f>
        <v>1336942</v>
      </c>
      <c r="E110" s="164">
        <f t="shared" si="16"/>
        <v>40131</v>
      </c>
      <c r="F110" s="163">
        <f t="shared" si="17"/>
        <v>1296811</v>
      </c>
      <c r="G110" s="163">
        <f t="shared" si="18"/>
        <v>1316876.5</v>
      </c>
      <c r="H110" s="167">
        <f t="shared" si="19"/>
        <v>175421.05366854786</v>
      </c>
      <c r="I110" s="317">
        <f t="shared" si="20"/>
        <v>175421.05366854786</v>
      </c>
      <c r="J110" s="162">
        <f t="shared" si="15"/>
        <v>0</v>
      </c>
      <c r="K110" s="162"/>
      <c r="L110" s="335"/>
      <c r="M110" s="162">
        <f t="shared" si="21"/>
        <v>0</v>
      </c>
      <c r="N110" s="335"/>
      <c r="O110" s="162">
        <f t="shared" si="22"/>
        <v>0</v>
      </c>
      <c r="P110" s="162">
        <f t="shared" si="23"/>
        <v>0</v>
      </c>
    </row>
    <row r="111" spans="1:16">
      <c r="B111" s="9" t="str">
        <f t="shared" si="14"/>
        <v/>
      </c>
      <c r="C111" s="157">
        <f>IF(D93="","-",+C110+1)</f>
        <v>2026</v>
      </c>
      <c r="D111" s="158">
        <f>IF(F110+SUM(E$99:E110)=D$92,F110,D$92-SUM(E$99:E110))</f>
        <v>1296811</v>
      </c>
      <c r="E111" s="164">
        <f t="shared" si="16"/>
        <v>40131</v>
      </c>
      <c r="F111" s="163">
        <f t="shared" si="17"/>
        <v>1256680</v>
      </c>
      <c r="G111" s="163">
        <f t="shared" si="18"/>
        <v>1276745.5</v>
      </c>
      <c r="H111" s="167">
        <f t="shared" si="19"/>
        <v>171298.1726362168</v>
      </c>
      <c r="I111" s="317">
        <f t="shared" si="20"/>
        <v>171298.1726362168</v>
      </c>
      <c r="J111" s="162">
        <f t="shared" si="15"/>
        <v>0</v>
      </c>
      <c r="K111" s="162"/>
      <c r="L111" s="335"/>
      <c r="M111" s="162">
        <f t="shared" si="21"/>
        <v>0</v>
      </c>
      <c r="N111" s="335"/>
      <c r="O111" s="162">
        <f t="shared" si="22"/>
        <v>0</v>
      </c>
      <c r="P111" s="162">
        <f t="shared" si="23"/>
        <v>0</v>
      </c>
    </row>
    <row r="112" spans="1:16">
      <c r="B112" s="9" t="str">
        <f t="shared" si="14"/>
        <v/>
      </c>
      <c r="C112" s="157">
        <f>IF(D93="","-",+C111+1)</f>
        <v>2027</v>
      </c>
      <c r="D112" s="158">
        <f>IF(F111+SUM(E$99:E111)=D$92,F111,D$92-SUM(E$99:E111))</f>
        <v>1256680</v>
      </c>
      <c r="E112" s="164">
        <f t="shared" si="16"/>
        <v>40131</v>
      </c>
      <c r="F112" s="163">
        <f t="shared" si="17"/>
        <v>1216549</v>
      </c>
      <c r="G112" s="163">
        <f t="shared" si="18"/>
        <v>1236614.5</v>
      </c>
      <c r="H112" s="167">
        <f t="shared" si="19"/>
        <v>167175.29160388577</v>
      </c>
      <c r="I112" s="317">
        <f t="shared" si="20"/>
        <v>167175.29160388577</v>
      </c>
      <c r="J112" s="162">
        <f t="shared" si="15"/>
        <v>0</v>
      </c>
      <c r="K112" s="162"/>
      <c r="L112" s="335"/>
      <c r="M112" s="162">
        <f t="shared" si="21"/>
        <v>0</v>
      </c>
      <c r="N112" s="335"/>
      <c r="O112" s="162">
        <f t="shared" si="22"/>
        <v>0</v>
      </c>
      <c r="P112" s="162">
        <f t="shared" si="23"/>
        <v>0</v>
      </c>
    </row>
    <row r="113" spans="2:16">
      <c r="B113" s="9" t="str">
        <f t="shared" si="14"/>
        <v/>
      </c>
      <c r="C113" s="157">
        <f>IF(D93="","-",+C112+1)</f>
        <v>2028</v>
      </c>
      <c r="D113" s="158">
        <f>IF(F112+SUM(E$99:E112)=D$92,F112,D$92-SUM(E$99:E112))</f>
        <v>1216549</v>
      </c>
      <c r="E113" s="164">
        <f t="shared" si="16"/>
        <v>40131</v>
      </c>
      <c r="F113" s="163">
        <f t="shared" si="17"/>
        <v>1176418</v>
      </c>
      <c r="G113" s="163">
        <f t="shared" si="18"/>
        <v>1196483.5</v>
      </c>
      <c r="H113" s="167">
        <f t="shared" si="19"/>
        <v>163052.41057155473</v>
      </c>
      <c r="I113" s="317">
        <f t="shared" si="20"/>
        <v>163052.41057155473</v>
      </c>
      <c r="J113" s="162">
        <f t="shared" si="15"/>
        <v>0</v>
      </c>
      <c r="K113" s="162"/>
      <c r="L113" s="335"/>
      <c r="M113" s="162">
        <f t="shared" si="21"/>
        <v>0</v>
      </c>
      <c r="N113" s="335"/>
      <c r="O113" s="162">
        <f t="shared" si="22"/>
        <v>0</v>
      </c>
      <c r="P113" s="162">
        <f t="shared" si="23"/>
        <v>0</v>
      </c>
    </row>
    <row r="114" spans="2:16">
      <c r="B114" s="9" t="str">
        <f t="shared" si="14"/>
        <v/>
      </c>
      <c r="C114" s="157">
        <f>IF(D93="","-",+C113+1)</f>
        <v>2029</v>
      </c>
      <c r="D114" s="158">
        <f>IF(F113+SUM(E$99:E113)=D$92,F113,D$92-SUM(E$99:E113))</f>
        <v>1176418</v>
      </c>
      <c r="E114" s="164">
        <f t="shared" si="16"/>
        <v>40131</v>
      </c>
      <c r="F114" s="163">
        <f t="shared" si="17"/>
        <v>1136287</v>
      </c>
      <c r="G114" s="163">
        <f t="shared" si="18"/>
        <v>1156352.5</v>
      </c>
      <c r="H114" s="167">
        <f t="shared" si="19"/>
        <v>158929.52953922367</v>
      </c>
      <c r="I114" s="317">
        <f t="shared" si="20"/>
        <v>158929.52953922367</v>
      </c>
      <c r="J114" s="162">
        <f t="shared" si="15"/>
        <v>0</v>
      </c>
      <c r="K114" s="162"/>
      <c r="L114" s="335"/>
      <c r="M114" s="162">
        <f t="shared" si="21"/>
        <v>0</v>
      </c>
      <c r="N114" s="335"/>
      <c r="O114" s="162">
        <f t="shared" si="22"/>
        <v>0</v>
      </c>
      <c r="P114" s="162">
        <f t="shared" si="23"/>
        <v>0</v>
      </c>
    </row>
    <row r="115" spans="2:16">
      <c r="B115" s="9" t="str">
        <f t="shared" si="14"/>
        <v/>
      </c>
      <c r="C115" s="157">
        <f>IF(D93="","-",+C114+1)</f>
        <v>2030</v>
      </c>
      <c r="D115" s="158">
        <f>IF(F114+SUM(E$99:E114)=D$92,F114,D$92-SUM(E$99:E114))</f>
        <v>1136287</v>
      </c>
      <c r="E115" s="164">
        <f t="shared" si="16"/>
        <v>40131</v>
      </c>
      <c r="F115" s="163">
        <f t="shared" si="17"/>
        <v>1096156</v>
      </c>
      <c r="G115" s="163">
        <f t="shared" si="18"/>
        <v>1116221.5</v>
      </c>
      <c r="H115" s="167">
        <f t="shared" si="19"/>
        <v>154806.64850689261</v>
      </c>
      <c r="I115" s="317">
        <f t="shared" si="20"/>
        <v>154806.64850689261</v>
      </c>
      <c r="J115" s="162">
        <f t="shared" si="15"/>
        <v>0</v>
      </c>
      <c r="K115" s="162"/>
      <c r="L115" s="335"/>
      <c r="M115" s="162">
        <f t="shared" si="21"/>
        <v>0</v>
      </c>
      <c r="N115" s="335"/>
      <c r="O115" s="162">
        <f t="shared" si="22"/>
        <v>0</v>
      </c>
      <c r="P115" s="162">
        <f t="shared" si="23"/>
        <v>0</v>
      </c>
    </row>
    <row r="116" spans="2:16">
      <c r="B116" s="9" t="str">
        <f t="shared" si="14"/>
        <v/>
      </c>
      <c r="C116" s="157">
        <f>IF(D93="","-",+C115+1)</f>
        <v>2031</v>
      </c>
      <c r="D116" s="158">
        <f>IF(F115+SUM(E$99:E115)=D$92,F115,D$92-SUM(E$99:E115))</f>
        <v>1096156</v>
      </c>
      <c r="E116" s="164">
        <f t="shared" si="16"/>
        <v>40131</v>
      </c>
      <c r="F116" s="163">
        <f t="shared" si="17"/>
        <v>1056025</v>
      </c>
      <c r="G116" s="163">
        <f t="shared" si="18"/>
        <v>1076090.5</v>
      </c>
      <c r="H116" s="167">
        <f t="shared" si="19"/>
        <v>150683.76747456158</v>
      </c>
      <c r="I116" s="317">
        <f t="shared" si="20"/>
        <v>150683.76747456158</v>
      </c>
      <c r="J116" s="162">
        <f t="shared" si="15"/>
        <v>0</v>
      </c>
      <c r="K116" s="162"/>
      <c r="L116" s="335"/>
      <c r="M116" s="162">
        <f t="shared" si="21"/>
        <v>0</v>
      </c>
      <c r="N116" s="335"/>
      <c r="O116" s="162">
        <f t="shared" si="22"/>
        <v>0</v>
      </c>
      <c r="P116" s="162">
        <f t="shared" si="23"/>
        <v>0</v>
      </c>
    </row>
    <row r="117" spans="2:16">
      <c r="B117" s="9" t="str">
        <f t="shared" si="14"/>
        <v/>
      </c>
      <c r="C117" s="157">
        <f>IF(D93="","-",+C116+1)</f>
        <v>2032</v>
      </c>
      <c r="D117" s="158">
        <f>IF(F116+SUM(E$99:E116)=D$92,F116,D$92-SUM(E$99:E116))</f>
        <v>1056025</v>
      </c>
      <c r="E117" s="164">
        <f t="shared" si="16"/>
        <v>40131</v>
      </c>
      <c r="F117" s="163">
        <f t="shared" si="17"/>
        <v>1015894</v>
      </c>
      <c r="G117" s="163">
        <f t="shared" si="18"/>
        <v>1035959.5</v>
      </c>
      <c r="H117" s="167">
        <f t="shared" si="19"/>
        <v>146560.88644223055</v>
      </c>
      <c r="I117" s="317">
        <f t="shared" si="20"/>
        <v>146560.88644223055</v>
      </c>
      <c r="J117" s="162">
        <f t="shared" si="15"/>
        <v>0</v>
      </c>
      <c r="K117" s="162"/>
      <c r="L117" s="335"/>
      <c r="M117" s="162">
        <f t="shared" si="21"/>
        <v>0</v>
      </c>
      <c r="N117" s="335"/>
      <c r="O117" s="162">
        <f t="shared" si="22"/>
        <v>0</v>
      </c>
      <c r="P117" s="162">
        <f t="shared" si="23"/>
        <v>0</v>
      </c>
    </row>
    <row r="118" spans="2:16">
      <c r="B118" s="9" t="str">
        <f t="shared" si="14"/>
        <v/>
      </c>
      <c r="C118" s="157">
        <f>IF(D93="","-",+C117+1)</f>
        <v>2033</v>
      </c>
      <c r="D118" s="158">
        <f>IF(F117+SUM(E$99:E117)=D$92,F117,D$92-SUM(E$99:E117))</f>
        <v>1015894</v>
      </c>
      <c r="E118" s="164">
        <f t="shared" si="16"/>
        <v>40131</v>
      </c>
      <c r="F118" s="163">
        <f t="shared" si="17"/>
        <v>975763</v>
      </c>
      <c r="G118" s="163">
        <f t="shared" si="18"/>
        <v>995828.5</v>
      </c>
      <c r="H118" s="167">
        <f t="shared" si="19"/>
        <v>142438.00540989949</v>
      </c>
      <c r="I118" s="317">
        <f t="shared" si="20"/>
        <v>142438.00540989949</v>
      </c>
      <c r="J118" s="162">
        <f t="shared" si="15"/>
        <v>0</v>
      </c>
      <c r="K118" s="162"/>
      <c r="L118" s="335"/>
      <c r="M118" s="162">
        <f t="shared" si="21"/>
        <v>0</v>
      </c>
      <c r="N118" s="335"/>
      <c r="O118" s="162">
        <f t="shared" si="22"/>
        <v>0</v>
      </c>
      <c r="P118" s="162">
        <f t="shared" si="23"/>
        <v>0</v>
      </c>
    </row>
    <row r="119" spans="2:16">
      <c r="B119" s="9" t="str">
        <f t="shared" si="14"/>
        <v/>
      </c>
      <c r="C119" s="157">
        <f>IF(D93="","-",+C118+1)</f>
        <v>2034</v>
      </c>
      <c r="D119" s="158">
        <f>IF(F118+SUM(E$99:E118)=D$92,F118,D$92-SUM(E$99:E118))</f>
        <v>975763</v>
      </c>
      <c r="E119" s="164">
        <f t="shared" si="16"/>
        <v>40131</v>
      </c>
      <c r="F119" s="163">
        <f t="shared" si="17"/>
        <v>935632</v>
      </c>
      <c r="G119" s="163">
        <f t="shared" si="18"/>
        <v>955697.5</v>
      </c>
      <c r="H119" s="167">
        <f t="shared" si="19"/>
        <v>138315.12437756843</v>
      </c>
      <c r="I119" s="317">
        <f t="shared" si="20"/>
        <v>138315.12437756843</v>
      </c>
      <c r="J119" s="162">
        <f t="shared" si="15"/>
        <v>0</v>
      </c>
      <c r="K119" s="162"/>
      <c r="L119" s="335"/>
      <c r="M119" s="162">
        <f t="shared" si="21"/>
        <v>0</v>
      </c>
      <c r="N119" s="335"/>
      <c r="O119" s="162">
        <f t="shared" si="22"/>
        <v>0</v>
      </c>
      <c r="P119" s="162">
        <f t="shared" si="23"/>
        <v>0</v>
      </c>
    </row>
    <row r="120" spans="2:16">
      <c r="B120" s="9" t="str">
        <f t="shared" si="14"/>
        <v/>
      </c>
      <c r="C120" s="157">
        <f>IF(D93="","-",+C119+1)</f>
        <v>2035</v>
      </c>
      <c r="D120" s="158">
        <f>IF(F119+SUM(E$99:E119)=D$92,F119,D$92-SUM(E$99:E119))</f>
        <v>935632</v>
      </c>
      <c r="E120" s="164">
        <f t="shared" si="16"/>
        <v>40131</v>
      </c>
      <c r="F120" s="163">
        <f t="shared" si="17"/>
        <v>895501</v>
      </c>
      <c r="G120" s="163">
        <f t="shared" si="18"/>
        <v>915566.5</v>
      </c>
      <c r="H120" s="167">
        <f t="shared" si="19"/>
        <v>134192.2433452374</v>
      </c>
      <c r="I120" s="317">
        <f t="shared" si="20"/>
        <v>134192.2433452374</v>
      </c>
      <c r="J120" s="162">
        <f t="shared" si="15"/>
        <v>0</v>
      </c>
      <c r="K120" s="162"/>
      <c r="L120" s="335"/>
      <c r="M120" s="162">
        <f t="shared" si="21"/>
        <v>0</v>
      </c>
      <c r="N120" s="335"/>
      <c r="O120" s="162">
        <f t="shared" si="22"/>
        <v>0</v>
      </c>
      <c r="P120" s="162">
        <f t="shared" si="23"/>
        <v>0</v>
      </c>
    </row>
    <row r="121" spans="2:16">
      <c r="B121" s="9" t="str">
        <f t="shared" si="14"/>
        <v/>
      </c>
      <c r="C121" s="157">
        <f>IF(D93="","-",+C120+1)</f>
        <v>2036</v>
      </c>
      <c r="D121" s="158">
        <f>IF(F120+SUM(E$99:E120)=D$92,F120,D$92-SUM(E$99:E120))</f>
        <v>895501</v>
      </c>
      <c r="E121" s="164">
        <f t="shared" si="16"/>
        <v>40131</v>
      </c>
      <c r="F121" s="163">
        <f t="shared" si="17"/>
        <v>855370</v>
      </c>
      <c r="G121" s="163">
        <f t="shared" si="18"/>
        <v>875435.5</v>
      </c>
      <c r="H121" s="167">
        <f t="shared" si="19"/>
        <v>130069.36231290635</v>
      </c>
      <c r="I121" s="317">
        <f t="shared" si="20"/>
        <v>130069.36231290635</v>
      </c>
      <c r="J121" s="162">
        <f t="shared" si="15"/>
        <v>0</v>
      </c>
      <c r="K121" s="162"/>
      <c r="L121" s="335"/>
      <c r="M121" s="162">
        <f t="shared" si="21"/>
        <v>0</v>
      </c>
      <c r="N121" s="335"/>
      <c r="O121" s="162">
        <f t="shared" si="22"/>
        <v>0</v>
      </c>
      <c r="P121" s="162">
        <f t="shared" si="23"/>
        <v>0</v>
      </c>
    </row>
    <row r="122" spans="2:16">
      <c r="B122" s="9" t="str">
        <f t="shared" si="14"/>
        <v/>
      </c>
      <c r="C122" s="157">
        <f>IF(D93="","-",+C121+1)</f>
        <v>2037</v>
      </c>
      <c r="D122" s="158">
        <f>IF(F121+SUM(E$99:E121)=D$92,F121,D$92-SUM(E$99:E121))</f>
        <v>855370</v>
      </c>
      <c r="E122" s="164">
        <f t="shared" si="16"/>
        <v>40131</v>
      </c>
      <c r="F122" s="163">
        <f t="shared" si="17"/>
        <v>815239</v>
      </c>
      <c r="G122" s="163">
        <f t="shared" si="18"/>
        <v>835304.5</v>
      </c>
      <c r="H122" s="167">
        <f t="shared" si="19"/>
        <v>125946.4812805753</v>
      </c>
      <c r="I122" s="317">
        <f t="shared" si="20"/>
        <v>125946.4812805753</v>
      </c>
      <c r="J122" s="162">
        <f t="shared" si="15"/>
        <v>0</v>
      </c>
      <c r="K122" s="162"/>
      <c r="L122" s="335"/>
      <c r="M122" s="162">
        <f t="shared" si="21"/>
        <v>0</v>
      </c>
      <c r="N122" s="335"/>
      <c r="O122" s="162">
        <f t="shared" si="22"/>
        <v>0</v>
      </c>
      <c r="P122" s="162">
        <f t="shared" si="23"/>
        <v>0</v>
      </c>
    </row>
    <row r="123" spans="2:16">
      <c r="B123" s="9" t="str">
        <f t="shared" si="14"/>
        <v/>
      </c>
      <c r="C123" s="157">
        <f>IF(D93="","-",+C122+1)</f>
        <v>2038</v>
      </c>
      <c r="D123" s="158">
        <f>IF(F122+SUM(E$99:E122)=D$92,F122,D$92-SUM(E$99:E122))</f>
        <v>815239</v>
      </c>
      <c r="E123" s="164">
        <f t="shared" si="16"/>
        <v>40131</v>
      </c>
      <c r="F123" s="163">
        <f t="shared" si="17"/>
        <v>775108</v>
      </c>
      <c r="G123" s="163">
        <f t="shared" si="18"/>
        <v>795173.5</v>
      </c>
      <c r="H123" s="167">
        <f t="shared" si="19"/>
        <v>121823.60024824426</v>
      </c>
      <c r="I123" s="317">
        <f t="shared" si="20"/>
        <v>121823.60024824426</v>
      </c>
      <c r="J123" s="162">
        <f t="shared" si="15"/>
        <v>0</v>
      </c>
      <c r="K123" s="162"/>
      <c r="L123" s="335"/>
      <c r="M123" s="162">
        <f t="shared" si="21"/>
        <v>0</v>
      </c>
      <c r="N123" s="335"/>
      <c r="O123" s="162">
        <f t="shared" si="22"/>
        <v>0</v>
      </c>
      <c r="P123" s="162">
        <f t="shared" si="23"/>
        <v>0</v>
      </c>
    </row>
    <row r="124" spans="2:16">
      <c r="B124" s="9" t="str">
        <f t="shared" si="14"/>
        <v/>
      </c>
      <c r="C124" s="157">
        <f>IF(D93="","-",+C123+1)</f>
        <v>2039</v>
      </c>
      <c r="D124" s="158">
        <f>IF(F123+SUM(E$99:E123)=D$92,F123,D$92-SUM(E$99:E123))</f>
        <v>775108</v>
      </c>
      <c r="E124" s="164">
        <f t="shared" si="16"/>
        <v>40131</v>
      </c>
      <c r="F124" s="163">
        <f t="shared" si="17"/>
        <v>734977</v>
      </c>
      <c r="G124" s="163">
        <f t="shared" si="18"/>
        <v>755042.5</v>
      </c>
      <c r="H124" s="167">
        <f t="shared" si="19"/>
        <v>117700.71921591322</v>
      </c>
      <c r="I124" s="317">
        <f t="shared" si="20"/>
        <v>117700.71921591322</v>
      </c>
      <c r="J124" s="162">
        <f t="shared" si="15"/>
        <v>0</v>
      </c>
      <c r="K124" s="162"/>
      <c r="L124" s="335"/>
      <c r="M124" s="162">
        <f t="shared" si="21"/>
        <v>0</v>
      </c>
      <c r="N124" s="335"/>
      <c r="O124" s="162">
        <f t="shared" si="22"/>
        <v>0</v>
      </c>
      <c r="P124" s="162">
        <f t="shared" si="23"/>
        <v>0</v>
      </c>
    </row>
    <row r="125" spans="2:16">
      <c r="B125" s="9" t="str">
        <f t="shared" si="14"/>
        <v/>
      </c>
      <c r="C125" s="157">
        <f>IF(D93="","-",+C124+1)</f>
        <v>2040</v>
      </c>
      <c r="D125" s="158">
        <f>IF(F124+SUM(E$99:E124)=D$92,F124,D$92-SUM(E$99:E124))</f>
        <v>734977</v>
      </c>
      <c r="E125" s="164">
        <f t="shared" si="16"/>
        <v>40131</v>
      </c>
      <c r="F125" s="163">
        <f t="shared" si="17"/>
        <v>694846</v>
      </c>
      <c r="G125" s="163">
        <f t="shared" si="18"/>
        <v>714911.5</v>
      </c>
      <c r="H125" s="167">
        <f t="shared" si="19"/>
        <v>113577.83818358218</v>
      </c>
      <c r="I125" s="317">
        <f t="shared" si="20"/>
        <v>113577.83818358218</v>
      </c>
      <c r="J125" s="162">
        <f t="shared" si="15"/>
        <v>0</v>
      </c>
      <c r="K125" s="162"/>
      <c r="L125" s="335"/>
      <c r="M125" s="162">
        <f t="shared" si="21"/>
        <v>0</v>
      </c>
      <c r="N125" s="335"/>
      <c r="O125" s="162">
        <f t="shared" si="22"/>
        <v>0</v>
      </c>
      <c r="P125" s="162">
        <f t="shared" si="23"/>
        <v>0</v>
      </c>
    </row>
    <row r="126" spans="2:16">
      <c r="B126" s="9" t="str">
        <f t="shared" si="14"/>
        <v/>
      </c>
      <c r="C126" s="157">
        <f>IF(D93="","-",+C125+1)</f>
        <v>2041</v>
      </c>
      <c r="D126" s="158">
        <f>IF(F125+SUM(E$99:E125)=D$92,F125,D$92-SUM(E$99:E125))</f>
        <v>694846</v>
      </c>
      <c r="E126" s="164">
        <f t="shared" si="16"/>
        <v>40131</v>
      </c>
      <c r="F126" s="163">
        <f t="shared" si="17"/>
        <v>654715</v>
      </c>
      <c r="G126" s="163">
        <f t="shared" si="18"/>
        <v>674780.5</v>
      </c>
      <c r="H126" s="167">
        <f t="shared" si="19"/>
        <v>109454.95715125113</v>
      </c>
      <c r="I126" s="317">
        <f t="shared" si="20"/>
        <v>109454.95715125113</v>
      </c>
      <c r="J126" s="162">
        <f t="shared" si="15"/>
        <v>0</v>
      </c>
      <c r="K126" s="162"/>
      <c r="L126" s="335"/>
      <c r="M126" s="162">
        <f t="shared" si="21"/>
        <v>0</v>
      </c>
      <c r="N126" s="335"/>
      <c r="O126" s="162">
        <f t="shared" si="22"/>
        <v>0</v>
      </c>
      <c r="P126" s="162">
        <f t="shared" si="23"/>
        <v>0</v>
      </c>
    </row>
    <row r="127" spans="2:16">
      <c r="B127" s="9" t="str">
        <f t="shared" si="14"/>
        <v/>
      </c>
      <c r="C127" s="157">
        <f>IF(D93="","-",+C126+1)</f>
        <v>2042</v>
      </c>
      <c r="D127" s="158">
        <f>IF(F126+SUM(E$99:E126)=D$92,F126,D$92-SUM(E$99:E126))</f>
        <v>654715</v>
      </c>
      <c r="E127" s="164">
        <f t="shared" si="16"/>
        <v>40131</v>
      </c>
      <c r="F127" s="163">
        <f t="shared" si="17"/>
        <v>614584</v>
      </c>
      <c r="G127" s="163">
        <f t="shared" si="18"/>
        <v>634649.5</v>
      </c>
      <c r="H127" s="167">
        <f t="shared" si="19"/>
        <v>105332.07611892009</v>
      </c>
      <c r="I127" s="317">
        <f t="shared" si="20"/>
        <v>105332.07611892009</v>
      </c>
      <c r="J127" s="162">
        <f t="shared" si="15"/>
        <v>0</v>
      </c>
      <c r="K127" s="162"/>
      <c r="L127" s="335"/>
      <c r="M127" s="162">
        <f t="shared" si="21"/>
        <v>0</v>
      </c>
      <c r="N127" s="335"/>
      <c r="O127" s="162">
        <f t="shared" si="22"/>
        <v>0</v>
      </c>
      <c r="P127" s="162">
        <f t="shared" si="23"/>
        <v>0</v>
      </c>
    </row>
    <row r="128" spans="2:16">
      <c r="B128" s="9" t="str">
        <f t="shared" si="14"/>
        <v/>
      </c>
      <c r="C128" s="157">
        <f>IF(D93="","-",+C127+1)</f>
        <v>2043</v>
      </c>
      <c r="D128" s="158">
        <f>IF(F127+SUM(E$99:E127)=D$92,F127,D$92-SUM(E$99:E127))</f>
        <v>614584</v>
      </c>
      <c r="E128" s="164">
        <f t="shared" si="16"/>
        <v>40131</v>
      </c>
      <c r="F128" s="163">
        <f t="shared" si="17"/>
        <v>574453</v>
      </c>
      <c r="G128" s="163">
        <f t="shared" si="18"/>
        <v>594518.5</v>
      </c>
      <c r="H128" s="167">
        <f t="shared" si="19"/>
        <v>101209.19508658904</v>
      </c>
      <c r="I128" s="317">
        <f t="shared" si="20"/>
        <v>101209.19508658904</v>
      </c>
      <c r="J128" s="162">
        <f t="shared" si="15"/>
        <v>0</v>
      </c>
      <c r="K128" s="162"/>
      <c r="L128" s="335"/>
      <c r="M128" s="162">
        <f t="shared" si="21"/>
        <v>0</v>
      </c>
      <c r="N128" s="335"/>
      <c r="O128" s="162">
        <f t="shared" si="22"/>
        <v>0</v>
      </c>
      <c r="P128" s="162">
        <f t="shared" si="23"/>
        <v>0</v>
      </c>
    </row>
    <row r="129" spans="2:16">
      <c r="B129" s="9" t="str">
        <f t="shared" si="14"/>
        <v/>
      </c>
      <c r="C129" s="157">
        <f>IF(D93="","-",+C128+1)</f>
        <v>2044</v>
      </c>
      <c r="D129" s="158">
        <f>IF(F128+SUM(E$99:E128)=D$92,F128,D$92-SUM(E$99:E128))</f>
        <v>574453</v>
      </c>
      <c r="E129" s="164">
        <f t="shared" si="16"/>
        <v>40131</v>
      </c>
      <c r="F129" s="163">
        <f t="shared" si="17"/>
        <v>534322</v>
      </c>
      <c r="G129" s="163">
        <f t="shared" si="18"/>
        <v>554387.5</v>
      </c>
      <c r="H129" s="167">
        <f t="shared" si="19"/>
        <v>97086.314054257993</v>
      </c>
      <c r="I129" s="317">
        <f t="shared" si="20"/>
        <v>97086.314054257993</v>
      </c>
      <c r="J129" s="162">
        <f t="shared" si="15"/>
        <v>0</v>
      </c>
      <c r="K129" s="162"/>
      <c r="L129" s="335"/>
      <c r="M129" s="162">
        <f t="shared" si="21"/>
        <v>0</v>
      </c>
      <c r="N129" s="335"/>
      <c r="O129" s="162">
        <f t="shared" si="22"/>
        <v>0</v>
      </c>
      <c r="P129" s="162">
        <f t="shared" si="23"/>
        <v>0</v>
      </c>
    </row>
    <row r="130" spans="2:16">
      <c r="B130" s="9" t="str">
        <f t="shared" si="14"/>
        <v/>
      </c>
      <c r="C130" s="157">
        <f>IF(D93="","-",+C129+1)</f>
        <v>2045</v>
      </c>
      <c r="D130" s="158">
        <f>IF(F129+SUM(E$99:E129)=D$92,F129,D$92-SUM(E$99:E129))</f>
        <v>534322</v>
      </c>
      <c r="E130" s="164">
        <f t="shared" si="16"/>
        <v>40131</v>
      </c>
      <c r="F130" s="163">
        <f t="shared" si="17"/>
        <v>494191</v>
      </c>
      <c r="G130" s="163">
        <f t="shared" si="18"/>
        <v>514256.5</v>
      </c>
      <c r="H130" s="167">
        <f t="shared" si="19"/>
        <v>92963.433021926947</v>
      </c>
      <c r="I130" s="317">
        <f t="shared" si="20"/>
        <v>92963.433021926947</v>
      </c>
      <c r="J130" s="162">
        <f t="shared" si="15"/>
        <v>0</v>
      </c>
      <c r="K130" s="162"/>
      <c r="L130" s="335"/>
      <c r="M130" s="162">
        <f t="shared" si="21"/>
        <v>0</v>
      </c>
      <c r="N130" s="335"/>
      <c r="O130" s="162">
        <f t="shared" si="22"/>
        <v>0</v>
      </c>
      <c r="P130" s="162">
        <f t="shared" si="23"/>
        <v>0</v>
      </c>
    </row>
    <row r="131" spans="2:16">
      <c r="B131" s="9" t="str">
        <f t="shared" si="14"/>
        <v/>
      </c>
      <c r="C131" s="157">
        <f>IF(D93="","-",+C130+1)</f>
        <v>2046</v>
      </c>
      <c r="D131" s="158">
        <f>IF(F130+SUM(E$99:E130)=D$92,F130,D$92-SUM(E$99:E130))</f>
        <v>494191</v>
      </c>
      <c r="E131" s="164">
        <f t="shared" si="16"/>
        <v>40131</v>
      </c>
      <c r="F131" s="163">
        <f t="shared" si="17"/>
        <v>454060</v>
      </c>
      <c r="G131" s="163">
        <f t="shared" si="18"/>
        <v>474125.5</v>
      </c>
      <c r="H131" s="167">
        <f t="shared" si="19"/>
        <v>88840.551989595901</v>
      </c>
      <c r="I131" s="317">
        <f t="shared" si="20"/>
        <v>88840.551989595901</v>
      </c>
      <c r="J131" s="162">
        <f t="shared" si="15"/>
        <v>0</v>
      </c>
      <c r="K131" s="162"/>
      <c r="L131" s="335"/>
      <c r="M131" s="162">
        <f t="shared" ref="M131:M154" si="24">IF(L541&lt;&gt;0,+H541-L541,0)</f>
        <v>0</v>
      </c>
      <c r="N131" s="335"/>
      <c r="O131" s="162">
        <f t="shared" ref="O131:O154" si="25">IF(N541&lt;&gt;0,+I541-N541,0)</f>
        <v>0</v>
      </c>
      <c r="P131" s="162">
        <f t="shared" ref="P131:P154" si="26">+O541-M541</f>
        <v>0</v>
      </c>
    </row>
    <row r="132" spans="2:16">
      <c r="B132" s="9" t="str">
        <f t="shared" si="14"/>
        <v/>
      </c>
      <c r="C132" s="157">
        <f>IF(D93="","-",+C131+1)</f>
        <v>2047</v>
      </c>
      <c r="D132" s="158">
        <f>IF(F131+SUM(E$99:E131)=D$92,F131,D$92-SUM(E$99:E131))</f>
        <v>454060</v>
      </c>
      <c r="E132" s="164">
        <f t="shared" si="16"/>
        <v>40131</v>
      </c>
      <c r="F132" s="163">
        <f t="shared" si="17"/>
        <v>413929</v>
      </c>
      <c r="G132" s="163">
        <f t="shared" si="18"/>
        <v>433994.5</v>
      </c>
      <c r="H132" s="167">
        <f t="shared" si="19"/>
        <v>84717.670957264854</v>
      </c>
      <c r="I132" s="317">
        <f t="shared" si="20"/>
        <v>84717.670957264854</v>
      </c>
      <c r="J132" s="162">
        <f t="shared" si="15"/>
        <v>0</v>
      </c>
      <c r="K132" s="162"/>
      <c r="L132" s="335"/>
      <c r="M132" s="162">
        <f t="shared" si="24"/>
        <v>0</v>
      </c>
      <c r="N132" s="335"/>
      <c r="O132" s="162">
        <f t="shared" si="25"/>
        <v>0</v>
      </c>
      <c r="P132" s="162">
        <f t="shared" si="26"/>
        <v>0</v>
      </c>
    </row>
    <row r="133" spans="2:16">
      <c r="B133" s="9" t="str">
        <f t="shared" si="14"/>
        <v/>
      </c>
      <c r="C133" s="157">
        <f>IF(D93="","-",+C132+1)</f>
        <v>2048</v>
      </c>
      <c r="D133" s="158">
        <f>IF(F132+SUM(E$99:E132)=D$92,F132,D$92-SUM(E$99:E132))</f>
        <v>413929</v>
      </c>
      <c r="E133" s="164">
        <f t="shared" si="16"/>
        <v>40131</v>
      </c>
      <c r="F133" s="163">
        <f t="shared" si="17"/>
        <v>373798</v>
      </c>
      <c r="G133" s="163">
        <f t="shared" si="18"/>
        <v>393863.5</v>
      </c>
      <c r="H133" s="167">
        <f t="shared" si="19"/>
        <v>80594.789924933808</v>
      </c>
      <c r="I133" s="317">
        <f t="shared" si="20"/>
        <v>80594.789924933808</v>
      </c>
      <c r="J133" s="162">
        <f t="shared" si="15"/>
        <v>0</v>
      </c>
      <c r="K133" s="162"/>
      <c r="L133" s="335"/>
      <c r="M133" s="162">
        <f t="shared" si="24"/>
        <v>0</v>
      </c>
      <c r="N133" s="335"/>
      <c r="O133" s="162">
        <f t="shared" si="25"/>
        <v>0</v>
      </c>
      <c r="P133" s="162">
        <f t="shared" si="26"/>
        <v>0</v>
      </c>
    </row>
    <row r="134" spans="2:16">
      <c r="B134" s="9" t="str">
        <f t="shared" si="14"/>
        <v/>
      </c>
      <c r="C134" s="157">
        <f>IF(D93="","-",+C133+1)</f>
        <v>2049</v>
      </c>
      <c r="D134" s="158">
        <f>IF(F133+SUM(E$99:E133)=D$92,F133,D$92-SUM(E$99:E133))</f>
        <v>373798</v>
      </c>
      <c r="E134" s="164">
        <f t="shared" si="16"/>
        <v>40131</v>
      </c>
      <c r="F134" s="163">
        <f t="shared" si="17"/>
        <v>333667</v>
      </c>
      <c r="G134" s="163">
        <f t="shared" si="18"/>
        <v>353732.5</v>
      </c>
      <c r="H134" s="167">
        <f t="shared" si="19"/>
        <v>76471.908892602762</v>
      </c>
      <c r="I134" s="317">
        <f t="shared" si="20"/>
        <v>76471.908892602762</v>
      </c>
      <c r="J134" s="162">
        <f t="shared" si="15"/>
        <v>0</v>
      </c>
      <c r="K134" s="162"/>
      <c r="L134" s="335"/>
      <c r="M134" s="162">
        <f t="shared" si="24"/>
        <v>0</v>
      </c>
      <c r="N134" s="335"/>
      <c r="O134" s="162">
        <f t="shared" si="25"/>
        <v>0</v>
      </c>
      <c r="P134" s="162">
        <f t="shared" si="26"/>
        <v>0</v>
      </c>
    </row>
    <row r="135" spans="2:16">
      <c r="B135" s="9" t="str">
        <f t="shared" si="14"/>
        <v/>
      </c>
      <c r="C135" s="157">
        <f>IF(D93="","-",+C134+1)</f>
        <v>2050</v>
      </c>
      <c r="D135" s="158">
        <f>IF(F134+SUM(E$99:E134)=D$92,F134,D$92-SUM(E$99:E134))</f>
        <v>333667</v>
      </c>
      <c r="E135" s="164">
        <f t="shared" si="16"/>
        <v>40131</v>
      </c>
      <c r="F135" s="163">
        <f t="shared" si="17"/>
        <v>293536</v>
      </c>
      <c r="G135" s="163">
        <f t="shared" si="18"/>
        <v>313601.5</v>
      </c>
      <c r="H135" s="167">
        <f t="shared" si="19"/>
        <v>72349.027860271715</v>
      </c>
      <c r="I135" s="317">
        <f t="shared" si="20"/>
        <v>72349.027860271715</v>
      </c>
      <c r="J135" s="162">
        <f t="shared" si="15"/>
        <v>0</v>
      </c>
      <c r="K135" s="162"/>
      <c r="L135" s="335"/>
      <c r="M135" s="162">
        <f t="shared" si="24"/>
        <v>0</v>
      </c>
      <c r="N135" s="335"/>
      <c r="O135" s="162">
        <f t="shared" si="25"/>
        <v>0</v>
      </c>
      <c r="P135" s="162">
        <f t="shared" si="26"/>
        <v>0</v>
      </c>
    </row>
    <row r="136" spans="2:16">
      <c r="B136" s="9" t="str">
        <f t="shared" si="14"/>
        <v/>
      </c>
      <c r="C136" s="157">
        <f>IF(D93="","-",+C135+1)</f>
        <v>2051</v>
      </c>
      <c r="D136" s="158">
        <f>IF(F135+SUM(E$99:E135)=D$92,F135,D$92-SUM(E$99:E135))</f>
        <v>293536</v>
      </c>
      <c r="E136" s="164">
        <f t="shared" si="16"/>
        <v>40131</v>
      </c>
      <c r="F136" s="163">
        <f t="shared" si="17"/>
        <v>253405</v>
      </c>
      <c r="G136" s="163">
        <f t="shared" si="18"/>
        <v>273470.5</v>
      </c>
      <c r="H136" s="167">
        <f t="shared" si="19"/>
        <v>68226.146827940669</v>
      </c>
      <c r="I136" s="317">
        <f t="shared" si="20"/>
        <v>68226.146827940669</v>
      </c>
      <c r="J136" s="162">
        <f t="shared" si="15"/>
        <v>0</v>
      </c>
      <c r="K136" s="162"/>
      <c r="L136" s="335"/>
      <c r="M136" s="162">
        <f t="shared" si="24"/>
        <v>0</v>
      </c>
      <c r="N136" s="335"/>
      <c r="O136" s="162">
        <f t="shared" si="25"/>
        <v>0</v>
      </c>
      <c r="P136" s="162">
        <f t="shared" si="26"/>
        <v>0</v>
      </c>
    </row>
    <row r="137" spans="2:16">
      <c r="B137" s="9" t="str">
        <f t="shared" si="14"/>
        <v/>
      </c>
      <c r="C137" s="157">
        <f>IF(D93="","-",+C136+1)</f>
        <v>2052</v>
      </c>
      <c r="D137" s="158">
        <f>IF(F136+SUM(E$99:E136)=D$92,F136,D$92-SUM(E$99:E136))</f>
        <v>253405</v>
      </c>
      <c r="E137" s="164">
        <f t="shared" si="16"/>
        <v>40131</v>
      </c>
      <c r="F137" s="163">
        <f t="shared" si="17"/>
        <v>213274</v>
      </c>
      <c r="G137" s="163">
        <f t="shared" si="18"/>
        <v>233339.5</v>
      </c>
      <c r="H137" s="167">
        <f t="shared" si="19"/>
        <v>64103.265795609623</v>
      </c>
      <c r="I137" s="317">
        <f t="shared" si="20"/>
        <v>64103.265795609623</v>
      </c>
      <c r="J137" s="162">
        <f t="shared" si="15"/>
        <v>0</v>
      </c>
      <c r="K137" s="162"/>
      <c r="L137" s="335"/>
      <c r="M137" s="162">
        <f t="shared" si="24"/>
        <v>0</v>
      </c>
      <c r="N137" s="335"/>
      <c r="O137" s="162">
        <f t="shared" si="25"/>
        <v>0</v>
      </c>
      <c r="P137" s="162">
        <f t="shared" si="26"/>
        <v>0</v>
      </c>
    </row>
    <row r="138" spans="2:16">
      <c r="B138" s="9" t="str">
        <f t="shared" si="14"/>
        <v/>
      </c>
      <c r="C138" s="157">
        <f>IF(D93="","-",+C137+1)</f>
        <v>2053</v>
      </c>
      <c r="D138" s="158">
        <f>IF(F137+SUM(E$99:E137)=D$92,F137,D$92-SUM(E$99:E137))</f>
        <v>213274</v>
      </c>
      <c r="E138" s="164">
        <f t="shared" si="16"/>
        <v>40131</v>
      </c>
      <c r="F138" s="163">
        <f t="shared" si="17"/>
        <v>173143</v>
      </c>
      <c r="G138" s="163">
        <f t="shared" si="18"/>
        <v>193208.5</v>
      </c>
      <c r="H138" s="167">
        <f t="shared" si="19"/>
        <v>59980.384763278584</v>
      </c>
      <c r="I138" s="317">
        <f t="shared" si="20"/>
        <v>59980.384763278584</v>
      </c>
      <c r="J138" s="162">
        <f t="shared" si="15"/>
        <v>0</v>
      </c>
      <c r="K138" s="162"/>
      <c r="L138" s="335"/>
      <c r="M138" s="162">
        <f t="shared" si="24"/>
        <v>0</v>
      </c>
      <c r="N138" s="335"/>
      <c r="O138" s="162">
        <f t="shared" si="25"/>
        <v>0</v>
      </c>
      <c r="P138" s="162">
        <f t="shared" si="26"/>
        <v>0</v>
      </c>
    </row>
    <row r="139" spans="2:16">
      <c r="B139" s="9" t="str">
        <f t="shared" si="14"/>
        <v/>
      </c>
      <c r="C139" s="157">
        <f>IF(D93="","-",+C138+1)</f>
        <v>2054</v>
      </c>
      <c r="D139" s="158">
        <f>IF(F138+SUM(E$99:E138)=D$92,F138,D$92-SUM(E$99:E138))</f>
        <v>173143</v>
      </c>
      <c r="E139" s="164">
        <f t="shared" si="16"/>
        <v>40131</v>
      </c>
      <c r="F139" s="163">
        <f t="shared" si="17"/>
        <v>133012</v>
      </c>
      <c r="G139" s="163">
        <f t="shared" si="18"/>
        <v>153077.5</v>
      </c>
      <c r="H139" s="167">
        <f t="shared" si="19"/>
        <v>55857.503730947537</v>
      </c>
      <c r="I139" s="317">
        <f t="shared" si="20"/>
        <v>55857.503730947537</v>
      </c>
      <c r="J139" s="162">
        <f t="shared" si="15"/>
        <v>0</v>
      </c>
      <c r="K139" s="162"/>
      <c r="L139" s="335"/>
      <c r="M139" s="162">
        <f t="shared" si="24"/>
        <v>0</v>
      </c>
      <c r="N139" s="335"/>
      <c r="O139" s="162">
        <f t="shared" si="25"/>
        <v>0</v>
      </c>
      <c r="P139" s="162">
        <f t="shared" si="26"/>
        <v>0</v>
      </c>
    </row>
    <row r="140" spans="2:16">
      <c r="B140" s="9" t="str">
        <f t="shared" si="14"/>
        <v/>
      </c>
      <c r="C140" s="157">
        <f>IF(D93="","-",+C139+1)</f>
        <v>2055</v>
      </c>
      <c r="D140" s="158">
        <f>IF(F139+SUM(E$99:E139)=D$92,F139,D$92-SUM(E$99:E139))</f>
        <v>133012</v>
      </c>
      <c r="E140" s="164">
        <f t="shared" si="16"/>
        <v>40131</v>
      </c>
      <c r="F140" s="163">
        <f t="shared" si="17"/>
        <v>92881</v>
      </c>
      <c r="G140" s="163">
        <f t="shared" si="18"/>
        <v>112946.5</v>
      </c>
      <c r="H140" s="167">
        <f t="shared" si="19"/>
        <v>51734.622698616491</v>
      </c>
      <c r="I140" s="317">
        <f t="shared" si="20"/>
        <v>51734.622698616491</v>
      </c>
      <c r="J140" s="162">
        <f t="shared" si="15"/>
        <v>0</v>
      </c>
      <c r="K140" s="162"/>
      <c r="L140" s="335"/>
      <c r="M140" s="162">
        <f t="shared" si="24"/>
        <v>0</v>
      </c>
      <c r="N140" s="335"/>
      <c r="O140" s="162">
        <f t="shared" si="25"/>
        <v>0</v>
      </c>
      <c r="P140" s="162">
        <f t="shared" si="26"/>
        <v>0</v>
      </c>
    </row>
    <row r="141" spans="2:16">
      <c r="B141" s="9" t="str">
        <f t="shared" si="14"/>
        <v/>
      </c>
      <c r="C141" s="157">
        <f>IF(D93="","-",+C140+1)</f>
        <v>2056</v>
      </c>
      <c r="D141" s="158">
        <f>IF(F140+SUM(E$99:E140)=D$92,F140,D$92-SUM(E$99:E140))</f>
        <v>92881</v>
      </c>
      <c r="E141" s="164">
        <f t="shared" si="16"/>
        <v>40131</v>
      </c>
      <c r="F141" s="163">
        <f t="shared" si="17"/>
        <v>52750</v>
      </c>
      <c r="G141" s="163">
        <f t="shared" si="18"/>
        <v>72815.5</v>
      </c>
      <c r="H141" s="167">
        <f t="shared" si="19"/>
        <v>47611.741666285445</v>
      </c>
      <c r="I141" s="317">
        <f t="shared" si="20"/>
        <v>47611.741666285445</v>
      </c>
      <c r="J141" s="162">
        <f t="shared" si="15"/>
        <v>0</v>
      </c>
      <c r="K141" s="162"/>
      <c r="L141" s="335"/>
      <c r="M141" s="162">
        <f t="shared" si="24"/>
        <v>0</v>
      </c>
      <c r="N141" s="335"/>
      <c r="O141" s="162">
        <f t="shared" si="25"/>
        <v>0</v>
      </c>
      <c r="P141" s="162">
        <f t="shared" si="26"/>
        <v>0</v>
      </c>
    </row>
    <row r="142" spans="2:16">
      <c r="B142" s="9" t="str">
        <f t="shared" si="14"/>
        <v/>
      </c>
      <c r="C142" s="157">
        <f>IF(D93="","-",+C141+1)</f>
        <v>2057</v>
      </c>
      <c r="D142" s="158">
        <f>IF(F141+SUM(E$99:E141)=D$92,F141,D$92-SUM(E$99:E141))</f>
        <v>52750</v>
      </c>
      <c r="E142" s="164">
        <f t="shared" si="16"/>
        <v>40131</v>
      </c>
      <c r="F142" s="163">
        <f t="shared" si="17"/>
        <v>12619</v>
      </c>
      <c r="G142" s="163">
        <f t="shared" si="18"/>
        <v>32684.5</v>
      </c>
      <c r="H142" s="167">
        <f t="shared" si="19"/>
        <v>43488.860633954399</v>
      </c>
      <c r="I142" s="317">
        <f t="shared" si="20"/>
        <v>43488.860633954399</v>
      </c>
      <c r="J142" s="162">
        <f t="shared" si="15"/>
        <v>0</v>
      </c>
      <c r="K142" s="162"/>
      <c r="L142" s="335"/>
      <c r="M142" s="162">
        <f t="shared" si="24"/>
        <v>0</v>
      </c>
      <c r="N142" s="335"/>
      <c r="O142" s="162">
        <f t="shared" si="25"/>
        <v>0</v>
      </c>
      <c r="P142" s="162">
        <f t="shared" si="26"/>
        <v>0</v>
      </c>
    </row>
    <row r="143" spans="2:16">
      <c r="B143" s="9" t="str">
        <f t="shared" si="14"/>
        <v/>
      </c>
      <c r="C143" s="157">
        <f>IF(D93="","-",+C142+1)</f>
        <v>2058</v>
      </c>
      <c r="D143" s="158">
        <f>IF(F142+SUM(E$99:E142)=D$92,F142,D$92-SUM(E$99:E142))</f>
        <v>12619</v>
      </c>
      <c r="E143" s="164">
        <f t="shared" si="16"/>
        <v>12619</v>
      </c>
      <c r="F143" s="163">
        <f t="shared" si="17"/>
        <v>0</v>
      </c>
      <c r="G143" s="163">
        <f t="shared" si="18"/>
        <v>6309.5</v>
      </c>
      <c r="H143" s="167">
        <f t="shared" si="19"/>
        <v>13267.210058894439</v>
      </c>
      <c r="I143" s="317">
        <f t="shared" si="20"/>
        <v>13267.210058894439</v>
      </c>
      <c r="J143" s="162">
        <f t="shared" si="15"/>
        <v>0</v>
      </c>
      <c r="K143" s="162"/>
      <c r="L143" s="335"/>
      <c r="M143" s="162">
        <f t="shared" si="24"/>
        <v>0</v>
      </c>
      <c r="N143" s="335"/>
      <c r="O143" s="162">
        <f t="shared" si="25"/>
        <v>0</v>
      </c>
      <c r="P143" s="162">
        <f t="shared" si="26"/>
        <v>0</v>
      </c>
    </row>
    <row r="144" spans="2:16">
      <c r="B144" s="9" t="str">
        <f t="shared" si="14"/>
        <v/>
      </c>
      <c r="C144" s="157">
        <f>IF(D93="","-",+C143+1)</f>
        <v>2059</v>
      </c>
      <c r="D144" s="158">
        <f>IF(F143+SUM(E$99:E143)=D$92,F143,D$92-SUM(E$99:E143))</f>
        <v>0</v>
      </c>
      <c r="E144" s="164">
        <f t="shared" si="16"/>
        <v>0</v>
      </c>
      <c r="F144" s="163">
        <f t="shared" si="17"/>
        <v>0</v>
      </c>
      <c r="G144" s="163">
        <f t="shared" si="18"/>
        <v>0</v>
      </c>
      <c r="H144" s="167">
        <f t="shared" si="19"/>
        <v>0</v>
      </c>
      <c r="I144" s="317">
        <f t="shared" si="20"/>
        <v>0</v>
      </c>
      <c r="J144" s="162">
        <f t="shared" si="15"/>
        <v>0</v>
      </c>
      <c r="K144" s="162"/>
      <c r="L144" s="335"/>
      <c r="M144" s="162">
        <f t="shared" si="24"/>
        <v>0</v>
      </c>
      <c r="N144" s="335"/>
      <c r="O144" s="162">
        <f t="shared" si="25"/>
        <v>0</v>
      </c>
      <c r="P144" s="162">
        <f t="shared" si="26"/>
        <v>0</v>
      </c>
    </row>
    <row r="145" spans="2:16">
      <c r="B145" s="9" t="str">
        <f t="shared" si="14"/>
        <v/>
      </c>
      <c r="C145" s="157">
        <f>IF(D93="","-",+C144+1)</f>
        <v>2060</v>
      </c>
      <c r="D145" s="158">
        <f>IF(F144+SUM(E$99:E144)=D$92,F144,D$92-SUM(E$99:E144))</f>
        <v>0</v>
      </c>
      <c r="E145" s="164">
        <f t="shared" si="16"/>
        <v>0</v>
      </c>
      <c r="F145" s="163">
        <f t="shared" si="17"/>
        <v>0</v>
      </c>
      <c r="G145" s="163">
        <f t="shared" si="18"/>
        <v>0</v>
      </c>
      <c r="H145" s="167">
        <f t="shared" si="19"/>
        <v>0</v>
      </c>
      <c r="I145" s="317">
        <f t="shared" si="20"/>
        <v>0</v>
      </c>
      <c r="J145" s="162">
        <f t="shared" si="15"/>
        <v>0</v>
      </c>
      <c r="K145" s="162"/>
      <c r="L145" s="335"/>
      <c r="M145" s="162">
        <f t="shared" si="24"/>
        <v>0</v>
      </c>
      <c r="N145" s="335"/>
      <c r="O145" s="162">
        <f t="shared" si="25"/>
        <v>0</v>
      </c>
      <c r="P145" s="162">
        <f t="shared" si="26"/>
        <v>0</v>
      </c>
    </row>
    <row r="146" spans="2:16">
      <c r="B146" s="9" t="str">
        <f t="shared" si="14"/>
        <v/>
      </c>
      <c r="C146" s="157">
        <f>IF(D93="","-",+C145+1)</f>
        <v>2061</v>
      </c>
      <c r="D146" s="158">
        <f>IF(F145+SUM(E$99:E145)=D$92,F145,D$92-SUM(E$99:E145))</f>
        <v>0</v>
      </c>
      <c r="E146" s="164">
        <f t="shared" si="16"/>
        <v>0</v>
      </c>
      <c r="F146" s="163">
        <f t="shared" si="17"/>
        <v>0</v>
      </c>
      <c r="G146" s="163">
        <f t="shared" si="18"/>
        <v>0</v>
      </c>
      <c r="H146" s="167">
        <f t="shared" si="19"/>
        <v>0</v>
      </c>
      <c r="I146" s="317">
        <f t="shared" si="20"/>
        <v>0</v>
      </c>
      <c r="J146" s="162">
        <f t="shared" si="15"/>
        <v>0</v>
      </c>
      <c r="K146" s="162"/>
      <c r="L146" s="335"/>
      <c r="M146" s="162">
        <f t="shared" si="24"/>
        <v>0</v>
      </c>
      <c r="N146" s="335"/>
      <c r="O146" s="162">
        <f t="shared" si="25"/>
        <v>0</v>
      </c>
      <c r="P146" s="162">
        <f t="shared" si="26"/>
        <v>0</v>
      </c>
    </row>
    <row r="147" spans="2:16">
      <c r="B147" s="9" t="str">
        <f t="shared" si="14"/>
        <v/>
      </c>
      <c r="C147" s="157">
        <f>IF(D93="","-",+C146+1)</f>
        <v>2062</v>
      </c>
      <c r="D147" s="158">
        <f>IF(F146+SUM(E$99:E146)=D$92,F146,D$92-SUM(E$99:E146))</f>
        <v>0</v>
      </c>
      <c r="E147" s="164">
        <f t="shared" si="16"/>
        <v>0</v>
      </c>
      <c r="F147" s="163">
        <f t="shared" si="17"/>
        <v>0</v>
      </c>
      <c r="G147" s="163">
        <f t="shared" si="18"/>
        <v>0</v>
      </c>
      <c r="H147" s="167">
        <f t="shared" si="19"/>
        <v>0</v>
      </c>
      <c r="I147" s="317">
        <f t="shared" si="20"/>
        <v>0</v>
      </c>
      <c r="J147" s="162">
        <f t="shared" si="15"/>
        <v>0</v>
      </c>
      <c r="K147" s="162"/>
      <c r="L147" s="335"/>
      <c r="M147" s="162">
        <f t="shared" si="24"/>
        <v>0</v>
      </c>
      <c r="N147" s="335"/>
      <c r="O147" s="162">
        <f t="shared" si="25"/>
        <v>0</v>
      </c>
      <c r="P147" s="162">
        <f t="shared" si="26"/>
        <v>0</v>
      </c>
    </row>
    <row r="148" spans="2:16">
      <c r="B148" s="9" t="str">
        <f t="shared" si="14"/>
        <v/>
      </c>
      <c r="C148" s="157">
        <f>IF(D93="","-",+C147+1)</f>
        <v>2063</v>
      </c>
      <c r="D148" s="158">
        <f>IF(F147+SUM(E$99:E147)=D$92,F147,D$92-SUM(E$99:E147))</f>
        <v>0</v>
      </c>
      <c r="E148" s="164">
        <f t="shared" si="16"/>
        <v>0</v>
      </c>
      <c r="F148" s="163">
        <f t="shared" si="17"/>
        <v>0</v>
      </c>
      <c r="G148" s="163">
        <f t="shared" si="18"/>
        <v>0</v>
      </c>
      <c r="H148" s="167">
        <f t="shared" si="19"/>
        <v>0</v>
      </c>
      <c r="I148" s="317">
        <f t="shared" si="20"/>
        <v>0</v>
      </c>
      <c r="J148" s="162">
        <f t="shared" si="15"/>
        <v>0</v>
      </c>
      <c r="K148" s="162"/>
      <c r="L148" s="335"/>
      <c r="M148" s="162">
        <f t="shared" si="24"/>
        <v>0</v>
      </c>
      <c r="N148" s="335"/>
      <c r="O148" s="162">
        <f t="shared" si="25"/>
        <v>0</v>
      </c>
      <c r="P148" s="162">
        <f t="shared" si="26"/>
        <v>0</v>
      </c>
    </row>
    <row r="149" spans="2:16">
      <c r="B149" s="9" t="str">
        <f t="shared" si="14"/>
        <v/>
      </c>
      <c r="C149" s="157">
        <f>IF(D93="","-",+C148+1)</f>
        <v>2064</v>
      </c>
      <c r="D149" s="158">
        <f>IF(F148+SUM(E$99:E148)=D$92,F148,D$92-SUM(E$99:E148))</f>
        <v>0</v>
      </c>
      <c r="E149" s="164">
        <f t="shared" si="16"/>
        <v>0</v>
      </c>
      <c r="F149" s="163">
        <f t="shared" si="17"/>
        <v>0</v>
      </c>
      <c r="G149" s="163">
        <f t="shared" si="18"/>
        <v>0</v>
      </c>
      <c r="H149" s="167">
        <f t="shared" si="19"/>
        <v>0</v>
      </c>
      <c r="I149" s="317">
        <f t="shared" si="20"/>
        <v>0</v>
      </c>
      <c r="J149" s="162">
        <f t="shared" si="15"/>
        <v>0</v>
      </c>
      <c r="K149" s="162"/>
      <c r="L149" s="335"/>
      <c r="M149" s="162">
        <f t="shared" si="24"/>
        <v>0</v>
      </c>
      <c r="N149" s="335"/>
      <c r="O149" s="162">
        <f t="shared" si="25"/>
        <v>0</v>
      </c>
      <c r="P149" s="162">
        <f t="shared" si="26"/>
        <v>0</v>
      </c>
    </row>
    <row r="150" spans="2:16">
      <c r="B150" s="9" t="str">
        <f t="shared" si="14"/>
        <v/>
      </c>
      <c r="C150" s="157">
        <f>IF(D93="","-",+C149+1)</f>
        <v>2065</v>
      </c>
      <c r="D150" s="158">
        <f>IF(F149+SUM(E$99:E149)=D$92,F149,D$92-SUM(E$99:E149))</f>
        <v>0</v>
      </c>
      <c r="E150" s="164">
        <f t="shared" si="16"/>
        <v>0</v>
      </c>
      <c r="F150" s="163">
        <f t="shared" si="17"/>
        <v>0</v>
      </c>
      <c r="G150" s="163">
        <f t="shared" si="18"/>
        <v>0</v>
      </c>
      <c r="H150" s="167">
        <f t="shared" si="19"/>
        <v>0</v>
      </c>
      <c r="I150" s="317">
        <f t="shared" si="20"/>
        <v>0</v>
      </c>
      <c r="J150" s="162">
        <f t="shared" si="15"/>
        <v>0</v>
      </c>
      <c r="K150" s="162"/>
      <c r="L150" s="335"/>
      <c r="M150" s="162">
        <f t="shared" si="24"/>
        <v>0</v>
      </c>
      <c r="N150" s="335"/>
      <c r="O150" s="162">
        <f t="shared" si="25"/>
        <v>0</v>
      </c>
      <c r="P150" s="162">
        <f t="shared" si="26"/>
        <v>0</v>
      </c>
    </row>
    <row r="151" spans="2:16">
      <c r="B151" s="9" t="str">
        <f t="shared" si="14"/>
        <v/>
      </c>
      <c r="C151" s="157">
        <f>IF(D93="","-",+C150+1)</f>
        <v>2066</v>
      </c>
      <c r="D151" s="158">
        <f>IF(F150+SUM(E$99:E150)=D$92,F150,D$92-SUM(E$99:E150))</f>
        <v>0</v>
      </c>
      <c r="E151" s="164">
        <f t="shared" si="16"/>
        <v>0</v>
      </c>
      <c r="F151" s="163">
        <f t="shared" si="17"/>
        <v>0</v>
      </c>
      <c r="G151" s="163">
        <f t="shared" si="18"/>
        <v>0</v>
      </c>
      <c r="H151" s="167">
        <f t="shared" si="19"/>
        <v>0</v>
      </c>
      <c r="I151" s="317">
        <f t="shared" si="20"/>
        <v>0</v>
      </c>
      <c r="J151" s="162">
        <f t="shared" si="15"/>
        <v>0</v>
      </c>
      <c r="K151" s="162"/>
      <c r="L151" s="335"/>
      <c r="M151" s="162">
        <f t="shared" si="24"/>
        <v>0</v>
      </c>
      <c r="N151" s="335"/>
      <c r="O151" s="162">
        <f t="shared" si="25"/>
        <v>0</v>
      </c>
      <c r="P151" s="162">
        <f t="shared" si="26"/>
        <v>0</v>
      </c>
    </row>
    <row r="152" spans="2:16">
      <c r="B152" s="9" t="str">
        <f t="shared" si="14"/>
        <v/>
      </c>
      <c r="C152" s="157">
        <f>IF(D93="","-",+C151+1)</f>
        <v>2067</v>
      </c>
      <c r="D152" s="158">
        <f>IF(F151+SUM(E$99:E151)=D$92,F151,D$92-SUM(E$99:E151))</f>
        <v>0</v>
      </c>
      <c r="E152" s="164">
        <f t="shared" si="16"/>
        <v>0</v>
      </c>
      <c r="F152" s="163">
        <f t="shared" si="17"/>
        <v>0</v>
      </c>
      <c r="G152" s="163">
        <f t="shared" si="18"/>
        <v>0</v>
      </c>
      <c r="H152" s="167">
        <f t="shared" si="19"/>
        <v>0</v>
      </c>
      <c r="I152" s="317">
        <f t="shared" si="20"/>
        <v>0</v>
      </c>
      <c r="J152" s="162">
        <f t="shared" si="15"/>
        <v>0</v>
      </c>
      <c r="K152" s="162"/>
      <c r="L152" s="335"/>
      <c r="M152" s="162">
        <f t="shared" si="24"/>
        <v>0</v>
      </c>
      <c r="N152" s="335"/>
      <c r="O152" s="162">
        <f t="shared" si="25"/>
        <v>0</v>
      </c>
      <c r="P152" s="162">
        <f t="shared" si="26"/>
        <v>0</v>
      </c>
    </row>
    <row r="153" spans="2:16">
      <c r="B153" s="9" t="str">
        <f t="shared" si="14"/>
        <v/>
      </c>
      <c r="C153" s="157">
        <f>IF(D93="","-",+C152+1)</f>
        <v>2068</v>
      </c>
      <c r="D153" s="158">
        <f>IF(F152+SUM(E$99:E152)=D$92,F152,D$92-SUM(E$99:E152))</f>
        <v>0</v>
      </c>
      <c r="E153" s="164">
        <f t="shared" si="16"/>
        <v>0</v>
      </c>
      <c r="F153" s="163">
        <f t="shared" si="17"/>
        <v>0</v>
      </c>
      <c r="G153" s="163">
        <f t="shared" si="18"/>
        <v>0</v>
      </c>
      <c r="H153" s="167">
        <f t="shared" si="19"/>
        <v>0</v>
      </c>
      <c r="I153" s="317">
        <f t="shared" si="20"/>
        <v>0</v>
      </c>
      <c r="J153" s="162">
        <f t="shared" si="15"/>
        <v>0</v>
      </c>
      <c r="K153" s="162"/>
      <c r="L153" s="335"/>
      <c r="M153" s="162">
        <f t="shared" si="24"/>
        <v>0</v>
      </c>
      <c r="N153" s="335"/>
      <c r="O153" s="162">
        <f t="shared" si="25"/>
        <v>0</v>
      </c>
      <c r="P153" s="162">
        <f t="shared" si="26"/>
        <v>0</v>
      </c>
    </row>
    <row r="154" spans="2:16" ht="13.5" thickBot="1">
      <c r="B154" s="9" t="str">
        <f t="shared" si="14"/>
        <v/>
      </c>
      <c r="C154" s="168">
        <f>IF(D93="","-",+C153+1)</f>
        <v>2069</v>
      </c>
      <c r="D154" s="388">
        <f>IF(F153+SUM(E$99:E153)=D$92,F153,D$92-SUM(E$99:E153))</f>
        <v>0</v>
      </c>
      <c r="E154" s="170">
        <f t="shared" si="16"/>
        <v>0</v>
      </c>
      <c r="F154" s="169">
        <f t="shared" si="17"/>
        <v>0</v>
      </c>
      <c r="G154" s="169">
        <f t="shared" si="18"/>
        <v>0</v>
      </c>
      <c r="H154" s="171">
        <f t="shared" si="19"/>
        <v>0</v>
      </c>
      <c r="I154" s="318">
        <f t="shared" si="20"/>
        <v>0</v>
      </c>
      <c r="J154" s="173">
        <f t="shared" si="15"/>
        <v>0</v>
      </c>
      <c r="K154" s="162"/>
      <c r="L154" s="336"/>
      <c r="M154" s="173">
        <f t="shared" si="24"/>
        <v>0</v>
      </c>
      <c r="N154" s="336"/>
      <c r="O154" s="173">
        <f t="shared" si="25"/>
        <v>0</v>
      </c>
      <c r="P154" s="173">
        <f t="shared" si="26"/>
        <v>0</v>
      </c>
    </row>
    <row r="155" spans="2:16">
      <c r="C155" s="158" t="s">
        <v>72</v>
      </c>
      <c r="D155" s="115"/>
      <c r="E155" s="115">
        <f>SUM(E99:E154)</f>
        <v>1725647</v>
      </c>
      <c r="F155" s="115"/>
      <c r="G155" s="115"/>
      <c r="H155" s="115">
        <f>SUM(H99:H154)</f>
        <v>5730084.5502062952</v>
      </c>
      <c r="I155" s="115">
        <f>SUM(I99:I154)</f>
        <v>5730084.5502062952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conditionalFormatting sqref="C17:C72">
    <cfRule type="cellIs" dxfId="23" priority="1" stopIfTrue="1" operator="equal">
      <formula>$I$10</formula>
    </cfRule>
  </conditionalFormatting>
  <conditionalFormatting sqref="C99:C154">
    <cfRule type="cellIs" dxfId="22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/>
  <dimension ref="A1:P162"/>
  <sheetViews>
    <sheetView view="pageBreakPreview" topLeftCell="A79" zoomScale="78" zoomScaleNormal="100" zoomScaleSheetLayoutView="78" workbookViewId="0">
      <selection activeCell="J19" sqref="J19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"&amp;RIGHT(MID(CELL("filename",$A$1),FIND("]",CELL("filename",$A$1))+1,256),2)&amp;" of "&amp;COUNT('P.001:P.xyz - blank'!$P$3)-1</f>
        <v>PSO Project 19 of 28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275</v>
      </c>
      <c r="L5" s="119"/>
      <c r="M5" s="120"/>
      <c r="N5" s="121">
        <f>VLOOKUP(I10,C17:I72,5)</f>
        <v>165989.58089219453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276</v>
      </c>
      <c r="L6" s="125"/>
      <c r="M6" s="4"/>
      <c r="N6" s="126">
        <f>VLOOKUP(I10,C17:I72,6)</f>
        <v>165989.58089219453</v>
      </c>
      <c r="O6" s="1"/>
      <c r="P6" s="1"/>
    </row>
    <row r="7" spans="1:16" ht="13.5" thickBot="1">
      <c r="C7" s="127" t="s">
        <v>41</v>
      </c>
      <c r="D7" s="227" t="s">
        <v>272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 t="str">
        <f>IF(D10&lt;100000,"DOES NOT MEET SPP $100,000 MINIMUM INVESTMENT FOR REGIONAL BPU SHARING.","")</f>
        <v/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43</v>
      </c>
      <c r="D9" s="229"/>
      <c r="E9" s="427" t="s">
        <v>292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1338978</v>
      </c>
      <c r="E10" s="64" t="s">
        <v>46</v>
      </c>
      <c r="F10" s="137"/>
      <c r="G10" s="139"/>
      <c r="H10" s="139"/>
      <c r="I10" s="140">
        <f>+PSO.WS.F.BPU.ATRR.Projected!L19</f>
        <v>2020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2017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3</v>
      </c>
      <c r="E12" s="141" t="s">
        <v>51</v>
      </c>
      <c r="F12" s="139"/>
      <c r="G12" s="7"/>
      <c r="H12" s="7"/>
      <c r="I12" s="145">
        <f>PSO.WS.F.BPU.ATRR.Projected!$F$81</f>
        <v>0.10800477690995318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42</v>
      </c>
      <c r="E13" s="141" t="s">
        <v>54</v>
      </c>
      <c r="F13" s="139"/>
      <c r="G13" s="7"/>
      <c r="H13" s="7"/>
      <c r="I13" s="145">
        <f>IF(G5="",I12,PSO.WS.F.BPU.ATRR.Projected!$F$80)</f>
        <v>0.10800477690995318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31880.428571428572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277</v>
      </c>
      <c r="H15" s="362" t="s">
        <v>278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2017</v>
      </c>
      <c r="D17" s="464">
        <v>0</v>
      </c>
      <c r="E17" s="467">
        <v>21831.16304347826</v>
      </c>
      <c r="F17" s="465">
        <v>1317146.8369565217</v>
      </c>
      <c r="G17" s="467">
        <v>105641.6474528401</v>
      </c>
      <c r="H17" s="466">
        <v>105641.6474528401</v>
      </c>
      <c r="I17" s="160">
        <f t="shared" ref="I17:I72" si="0">H17-G17</f>
        <v>0</v>
      </c>
      <c r="J17" s="160"/>
      <c r="K17" s="337">
        <f>+G17</f>
        <v>105641.6474528401</v>
      </c>
      <c r="L17" s="161">
        <f t="shared" ref="L17:L72" si="1">IF(K17&lt;&gt;0,+G17-K17,0)</f>
        <v>0</v>
      </c>
      <c r="M17" s="337">
        <f>+H17</f>
        <v>105641.6474528401</v>
      </c>
      <c r="N17" s="161">
        <f t="shared" ref="N17:N72" si="2">IF(M17&lt;&gt;0,+H17-M17,0)</f>
        <v>0</v>
      </c>
      <c r="O17" s="162">
        <f t="shared" ref="O17:O72" si="3">+N17-L17</f>
        <v>0</v>
      </c>
      <c r="P17" s="4"/>
    </row>
    <row r="18" spans="2:16">
      <c r="B18" s="9" t="str">
        <f>IF(D18=F17,"","IU")</f>
        <v/>
      </c>
      <c r="C18" s="157">
        <f>IF(D11="","-",+C17+1)</f>
        <v>2018</v>
      </c>
      <c r="D18" s="419">
        <v>1317146.8369565217</v>
      </c>
      <c r="E18" s="420">
        <v>29755.066666666666</v>
      </c>
      <c r="F18" s="419">
        <v>1287391.7702898551</v>
      </c>
      <c r="G18" s="420">
        <v>205998.2169756256</v>
      </c>
      <c r="H18" s="424">
        <v>205998.2169756256</v>
      </c>
      <c r="I18" s="160">
        <f t="shared" si="0"/>
        <v>0</v>
      </c>
      <c r="J18" s="160"/>
      <c r="K18" s="338">
        <f>G18</f>
        <v>205998.2169756256</v>
      </c>
      <c r="L18" s="439">
        <f>IF(K18&lt;&gt;0,+G18-K18,0)</f>
        <v>0</v>
      </c>
      <c r="M18" s="338">
        <f>H18</f>
        <v>205998.2169756256</v>
      </c>
      <c r="N18" s="162">
        <f>IF(M18&lt;&gt;0,+H18-M18,0)</f>
        <v>0</v>
      </c>
      <c r="O18" s="160">
        <f>+N18-L18</f>
        <v>0</v>
      </c>
      <c r="P18" s="4"/>
    </row>
    <row r="19" spans="2:16">
      <c r="B19" s="9" t="str">
        <f>IF(D19=F18,"","IU")</f>
        <v/>
      </c>
      <c r="C19" s="157">
        <f>IF(D11="","-",+C18+1)</f>
        <v>2019</v>
      </c>
      <c r="D19" s="419">
        <v>1287391.7702898551</v>
      </c>
      <c r="E19" s="420">
        <v>29755.066666666666</v>
      </c>
      <c r="F19" s="419">
        <v>1257636.7036231884</v>
      </c>
      <c r="G19" s="420">
        <v>201971.30282476899</v>
      </c>
      <c r="H19" s="424">
        <v>201971.30282476899</v>
      </c>
      <c r="I19" s="160">
        <f t="shared" si="0"/>
        <v>0</v>
      </c>
      <c r="J19" s="160"/>
      <c r="K19" s="338">
        <f>G19</f>
        <v>201971.30282476899</v>
      </c>
      <c r="L19" s="439">
        <f>IF(K19&lt;&gt;0,+G19-K19,0)</f>
        <v>0</v>
      </c>
      <c r="M19" s="338">
        <f>H19</f>
        <v>201971.30282476899</v>
      </c>
      <c r="N19" s="162">
        <f>IF(M19&lt;&gt;0,+H19-M19,0)</f>
        <v>0</v>
      </c>
      <c r="O19" s="160">
        <f>+N19-L19</f>
        <v>0</v>
      </c>
      <c r="P19" s="4"/>
    </row>
    <row r="20" spans="2:16">
      <c r="B20" s="9" t="str">
        <f t="shared" ref="B20:B72" si="4">IF(D20=F19,"","IU")</f>
        <v/>
      </c>
      <c r="C20" s="157">
        <f>IF(D11="","-",+C19+1)</f>
        <v>2020</v>
      </c>
      <c r="D20" s="166">
        <f>IF(F19+SUM(E$17:E19)=D$10,F19,D$10-SUM(E$17:E19))</f>
        <v>1257636.7036231884</v>
      </c>
      <c r="E20" s="164">
        <f t="shared" ref="E20:E72" si="5">IF(+I$14&lt;F19,I$14,D20)</f>
        <v>31880.428571428572</v>
      </c>
      <c r="F20" s="163">
        <f t="shared" ref="F20:F72" si="6">+D20-E20</f>
        <v>1225756.2750517598</v>
      </c>
      <c r="G20" s="165">
        <f t="shared" ref="G20:G72" si="7">(D20+F20)/2*I$12+E20</f>
        <v>165989.58089219453</v>
      </c>
      <c r="H20" s="147">
        <f t="shared" ref="H20:H72" si="8">+(D20+F20)/2*I$13+E20</f>
        <v>165989.58089219453</v>
      </c>
      <c r="I20" s="160">
        <f t="shared" si="0"/>
        <v>0</v>
      </c>
      <c r="J20" s="160"/>
      <c r="K20" s="335"/>
      <c r="L20" s="162">
        <f t="shared" si="1"/>
        <v>0</v>
      </c>
      <c r="M20" s="335"/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4"/>
        <v/>
      </c>
      <c r="C21" s="157">
        <f>IF(D11="","-",+C20+1)</f>
        <v>2021</v>
      </c>
      <c r="D21" s="166">
        <f>IF(F20+SUM(E$17:E20)=D$10,F20,D$10-SUM(E$17:E20))</f>
        <v>1225756.2750517598</v>
      </c>
      <c r="E21" s="164">
        <f t="shared" si="5"/>
        <v>31880.428571428572</v>
      </c>
      <c r="F21" s="163">
        <f t="shared" si="6"/>
        <v>1193875.8464803312</v>
      </c>
      <c r="G21" s="165">
        <f t="shared" si="7"/>
        <v>162546.34231654368</v>
      </c>
      <c r="H21" s="147">
        <f t="shared" si="8"/>
        <v>162546.34231654368</v>
      </c>
      <c r="I21" s="160">
        <f t="shared" si="0"/>
        <v>0</v>
      </c>
      <c r="J21" s="160"/>
      <c r="K21" s="335"/>
      <c r="L21" s="162">
        <f t="shared" si="1"/>
        <v>0</v>
      </c>
      <c r="M21" s="335"/>
      <c r="N21" s="162">
        <f t="shared" si="2"/>
        <v>0</v>
      </c>
      <c r="O21" s="162">
        <f t="shared" si="3"/>
        <v>0</v>
      </c>
      <c r="P21" s="4"/>
    </row>
    <row r="22" spans="2:16">
      <c r="B22" s="9" t="str">
        <f t="shared" si="4"/>
        <v/>
      </c>
      <c r="C22" s="157">
        <f>IF(D11="","-",+C21+1)</f>
        <v>2022</v>
      </c>
      <c r="D22" s="166">
        <f>IF(F21+SUM(E$17:E21)=D$10,F21,D$10-SUM(E$17:E21))</f>
        <v>1193875.8464803312</v>
      </c>
      <c r="E22" s="164">
        <f t="shared" si="5"/>
        <v>31880.428571428572</v>
      </c>
      <c r="F22" s="163">
        <f t="shared" si="6"/>
        <v>1161995.4179089025</v>
      </c>
      <c r="G22" s="165">
        <f t="shared" si="7"/>
        <v>159103.10374089284</v>
      </c>
      <c r="H22" s="147">
        <f t="shared" si="8"/>
        <v>159103.10374089284</v>
      </c>
      <c r="I22" s="160">
        <f t="shared" si="0"/>
        <v>0</v>
      </c>
      <c r="J22" s="160"/>
      <c r="K22" s="335"/>
      <c r="L22" s="162">
        <f t="shared" si="1"/>
        <v>0</v>
      </c>
      <c r="M22" s="335"/>
      <c r="N22" s="162">
        <f t="shared" si="2"/>
        <v>0</v>
      </c>
      <c r="O22" s="162">
        <f t="shared" si="3"/>
        <v>0</v>
      </c>
      <c r="P22" s="4"/>
    </row>
    <row r="23" spans="2:16">
      <c r="B23" s="9" t="str">
        <f t="shared" si="4"/>
        <v/>
      </c>
      <c r="C23" s="157">
        <f>IF(D11="","-",+C22+1)</f>
        <v>2023</v>
      </c>
      <c r="D23" s="166">
        <f>IF(F22+SUM(E$17:E22)=D$10,F22,D$10-SUM(E$17:E22))</f>
        <v>1161995.4179089025</v>
      </c>
      <c r="E23" s="164">
        <f t="shared" si="5"/>
        <v>31880.428571428572</v>
      </c>
      <c r="F23" s="163">
        <f t="shared" si="6"/>
        <v>1130114.9893374739</v>
      </c>
      <c r="G23" s="165">
        <f t="shared" si="7"/>
        <v>155659.86516524196</v>
      </c>
      <c r="H23" s="147">
        <f t="shared" si="8"/>
        <v>155659.86516524196</v>
      </c>
      <c r="I23" s="160">
        <f t="shared" si="0"/>
        <v>0</v>
      </c>
      <c r="J23" s="160"/>
      <c r="K23" s="335"/>
      <c r="L23" s="162">
        <f t="shared" si="1"/>
        <v>0</v>
      </c>
      <c r="M23" s="335"/>
      <c r="N23" s="162">
        <f t="shared" si="2"/>
        <v>0</v>
      </c>
      <c r="O23" s="162">
        <f t="shared" si="3"/>
        <v>0</v>
      </c>
      <c r="P23" s="4"/>
    </row>
    <row r="24" spans="2:16">
      <c r="B24" s="9" t="str">
        <f t="shared" si="4"/>
        <v/>
      </c>
      <c r="C24" s="157">
        <f>IF(D11="","-",+C23+1)</f>
        <v>2024</v>
      </c>
      <c r="D24" s="166">
        <f>IF(F23+SUM(E$17:E23)=D$10,F23,D$10-SUM(E$17:E23))</f>
        <v>1130114.9893374739</v>
      </c>
      <c r="E24" s="164">
        <f t="shared" si="5"/>
        <v>31880.428571428572</v>
      </c>
      <c r="F24" s="163">
        <f t="shared" si="6"/>
        <v>1098234.5607660452</v>
      </c>
      <c r="G24" s="165">
        <f t="shared" si="7"/>
        <v>152216.62658959112</v>
      </c>
      <c r="H24" s="147">
        <f t="shared" si="8"/>
        <v>152216.62658959112</v>
      </c>
      <c r="I24" s="160">
        <f t="shared" si="0"/>
        <v>0</v>
      </c>
      <c r="J24" s="160"/>
      <c r="K24" s="335"/>
      <c r="L24" s="162">
        <f t="shared" si="1"/>
        <v>0</v>
      </c>
      <c r="M24" s="335"/>
      <c r="N24" s="162">
        <f t="shared" si="2"/>
        <v>0</v>
      </c>
      <c r="O24" s="162">
        <f t="shared" si="3"/>
        <v>0</v>
      </c>
      <c r="P24" s="4"/>
    </row>
    <row r="25" spans="2:16">
      <c r="B25" s="9" t="str">
        <f t="shared" si="4"/>
        <v/>
      </c>
      <c r="C25" s="157">
        <f>IF(D11="","-",+C24+1)</f>
        <v>2025</v>
      </c>
      <c r="D25" s="166">
        <f>IF(F24+SUM(E$17:E24)=D$10,F24,D$10-SUM(E$17:E24))</f>
        <v>1098234.5607660452</v>
      </c>
      <c r="E25" s="164">
        <f t="shared" si="5"/>
        <v>31880.428571428572</v>
      </c>
      <c r="F25" s="163">
        <f t="shared" si="6"/>
        <v>1066354.1321946166</v>
      </c>
      <c r="G25" s="165">
        <f t="shared" si="7"/>
        <v>148773.38801394028</v>
      </c>
      <c r="H25" s="147">
        <f t="shared" si="8"/>
        <v>148773.38801394028</v>
      </c>
      <c r="I25" s="160">
        <f t="shared" si="0"/>
        <v>0</v>
      </c>
      <c r="J25" s="160"/>
      <c r="K25" s="335"/>
      <c r="L25" s="162">
        <f t="shared" si="1"/>
        <v>0</v>
      </c>
      <c r="M25" s="335"/>
      <c r="N25" s="162">
        <f t="shared" si="2"/>
        <v>0</v>
      </c>
      <c r="O25" s="162">
        <f t="shared" si="3"/>
        <v>0</v>
      </c>
      <c r="P25" s="4"/>
    </row>
    <row r="26" spans="2:16">
      <c r="B26" s="9" t="str">
        <f t="shared" si="4"/>
        <v/>
      </c>
      <c r="C26" s="157">
        <f>IF(D11="","-",+C25+1)</f>
        <v>2026</v>
      </c>
      <c r="D26" s="166">
        <f>IF(F25+SUM(E$17:E25)=D$10,F25,D$10-SUM(E$17:E25))</f>
        <v>1066354.1321946166</v>
      </c>
      <c r="E26" s="164">
        <f t="shared" si="5"/>
        <v>31880.428571428572</v>
      </c>
      <c r="F26" s="163">
        <f t="shared" si="6"/>
        <v>1034473.7036231881</v>
      </c>
      <c r="G26" s="165">
        <f t="shared" si="7"/>
        <v>145330.14943828943</v>
      </c>
      <c r="H26" s="147">
        <f t="shared" si="8"/>
        <v>145330.14943828943</v>
      </c>
      <c r="I26" s="160">
        <f t="shared" si="0"/>
        <v>0</v>
      </c>
      <c r="J26" s="160"/>
      <c r="K26" s="335"/>
      <c r="L26" s="162">
        <f t="shared" si="1"/>
        <v>0</v>
      </c>
      <c r="M26" s="335"/>
      <c r="N26" s="162">
        <f t="shared" si="2"/>
        <v>0</v>
      </c>
      <c r="O26" s="162">
        <f t="shared" si="3"/>
        <v>0</v>
      </c>
      <c r="P26" s="4"/>
    </row>
    <row r="27" spans="2:16">
      <c r="B27" s="9" t="str">
        <f t="shared" si="4"/>
        <v/>
      </c>
      <c r="C27" s="157">
        <f>IF(D11="","-",+C26+1)</f>
        <v>2027</v>
      </c>
      <c r="D27" s="166">
        <f>IF(F26+SUM(E$17:E26)=D$10,F26,D$10-SUM(E$17:E26))</f>
        <v>1034473.7036231881</v>
      </c>
      <c r="E27" s="164">
        <f t="shared" si="5"/>
        <v>31880.428571428572</v>
      </c>
      <c r="F27" s="163">
        <f t="shared" si="6"/>
        <v>1002593.2750517596</v>
      </c>
      <c r="G27" s="165">
        <f t="shared" si="7"/>
        <v>141886.91086263862</v>
      </c>
      <c r="H27" s="147">
        <f t="shared" si="8"/>
        <v>141886.91086263862</v>
      </c>
      <c r="I27" s="160">
        <f t="shared" si="0"/>
        <v>0</v>
      </c>
      <c r="J27" s="160"/>
      <c r="K27" s="335"/>
      <c r="L27" s="162">
        <f t="shared" si="1"/>
        <v>0</v>
      </c>
      <c r="M27" s="335"/>
      <c r="N27" s="162">
        <f t="shared" si="2"/>
        <v>0</v>
      </c>
      <c r="O27" s="162">
        <f t="shared" si="3"/>
        <v>0</v>
      </c>
      <c r="P27" s="4"/>
    </row>
    <row r="28" spans="2:16">
      <c r="B28" s="9" t="str">
        <f t="shared" si="4"/>
        <v/>
      </c>
      <c r="C28" s="157">
        <f>IF(D11="","-",+C27+1)</f>
        <v>2028</v>
      </c>
      <c r="D28" s="166">
        <f>IF(F27+SUM(E$17:E27)=D$10,F27,D$10-SUM(E$17:E27))</f>
        <v>1002593.2750517596</v>
      </c>
      <c r="E28" s="164">
        <f t="shared" si="5"/>
        <v>31880.428571428572</v>
      </c>
      <c r="F28" s="163">
        <f t="shared" si="6"/>
        <v>970712.84648033103</v>
      </c>
      <c r="G28" s="165">
        <f t="shared" si="7"/>
        <v>138443.67228698777</v>
      </c>
      <c r="H28" s="147">
        <f t="shared" si="8"/>
        <v>138443.67228698777</v>
      </c>
      <c r="I28" s="160">
        <f t="shared" si="0"/>
        <v>0</v>
      </c>
      <c r="J28" s="160"/>
      <c r="K28" s="335"/>
      <c r="L28" s="162">
        <f t="shared" si="1"/>
        <v>0</v>
      </c>
      <c r="M28" s="335"/>
      <c r="N28" s="162">
        <f t="shared" si="2"/>
        <v>0</v>
      </c>
      <c r="O28" s="162">
        <f t="shared" si="3"/>
        <v>0</v>
      </c>
      <c r="P28" s="4"/>
    </row>
    <row r="29" spans="2:16">
      <c r="B29" s="9" t="str">
        <f t="shared" si="4"/>
        <v/>
      </c>
      <c r="C29" s="157">
        <f>IF(D11="","-",+C28+1)</f>
        <v>2029</v>
      </c>
      <c r="D29" s="166">
        <f>IF(F28+SUM(E$17:E28)=D$10,F28,D$10-SUM(E$17:E28))</f>
        <v>970712.84648033103</v>
      </c>
      <c r="E29" s="164">
        <f t="shared" si="5"/>
        <v>31880.428571428572</v>
      </c>
      <c r="F29" s="163">
        <f t="shared" si="6"/>
        <v>938832.41790890251</v>
      </c>
      <c r="G29" s="165">
        <f t="shared" si="7"/>
        <v>135000.43371133695</v>
      </c>
      <c r="H29" s="147">
        <f t="shared" si="8"/>
        <v>135000.43371133695</v>
      </c>
      <c r="I29" s="160">
        <f t="shared" si="0"/>
        <v>0</v>
      </c>
      <c r="J29" s="160"/>
      <c r="K29" s="335"/>
      <c r="L29" s="162">
        <f t="shared" si="1"/>
        <v>0</v>
      </c>
      <c r="M29" s="335"/>
      <c r="N29" s="162">
        <f t="shared" si="2"/>
        <v>0</v>
      </c>
      <c r="O29" s="162">
        <f t="shared" si="3"/>
        <v>0</v>
      </c>
      <c r="P29" s="4"/>
    </row>
    <row r="30" spans="2:16">
      <c r="B30" s="9" t="str">
        <f t="shared" si="4"/>
        <v/>
      </c>
      <c r="C30" s="157">
        <f>IF(D11="","-",+C29+1)</f>
        <v>2030</v>
      </c>
      <c r="D30" s="166">
        <f>IF(F29+SUM(E$17:E29)=D$10,F29,D$10-SUM(E$17:E29))</f>
        <v>938832.41790890251</v>
      </c>
      <c r="E30" s="164">
        <f t="shared" si="5"/>
        <v>31880.428571428572</v>
      </c>
      <c r="F30" s="163">
        <f t="shared" si="6"/>
        <v>906951.98933747399</v>
      </c>
      <c r="G30" s="165">
        <f t="shared" si="7"/>
        <v>131557.19513568611</v>
      </c>
      <c r="H30" s="147">
        <f t="shared" si="8"/>
        <v>131557.19513568611</v>
      </c>
      <c r="I30" s="160">
        <f t="shared" si="0"/>
        <v>0</v>
      </c>
      <c r="J30" s="160"/>
      <c r="K30" s="335"/>
      <c r="L30" s="162">
        <f t="shared" si="1"/>
        <v>0</v>
      </c>
      <c r="M30" s="335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4"/>
        <v/>
      </c>
      <c r="C31" s="157">
        <f>IF(D11="","-",+C30+1)</f>
        <v>2031</v>
      </c>
      <c r="D31" s="166">
        <f>IF(F30+SUM(E$17:E30)=D$10,F30,D$10-SUM(E$17:E30))</f>
        <v>906951.98933747399</v>
      </c>
      <c r="E31" s="164">
        <f t="shared" si="5"/>
        <v>31880.428571428572</v>
      </c>
      <c r="F31" s="163">
        <f t="shared" si="6"/>
        <v>875071.56076604547</v>
      </c>
      <c r="G31" s="165">
        <f t="shared" si="7"/>
        <v>128113.95656003527</v>
      </c>
      <c r="H31" s="147">
        <f t="shared" si="8"/>
        <v>128113.95656003527</v>
      </c>
      <c r="I31" s="160">
        <f t="shared" si="0"/>
        <v>0</v>
      </c>
      <c r="J31" s="160"/>
      <c r="K31" s="335"/>
      <c r="L31" s="162">
        <f t="shared" si="1"/>
        <v>0</v>
      </c>
      <c r="M31" s="335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4"/>
        <v/>
      </c>
      <c r="C32" s="157">
        <f>IF(D11="","-",+C31+1)</f>
        <v>2032</v>
      </c>
      <c r="D32" s="166">
        <f>IF(F31+SUM(E$17:E31)=D$10,F31,D$10-SUM(E$17:E31))</f>
        <v>875071.56076604547</v>
      </c>
      <c r="E32" s="164">
        <f t="shared" si="5"/>
        <v>31880.428571428572</v>
      </c>
      <c r="F32" s="163">
        <f t="shared" si="6"/>
        <v>843191.13219461695</v>
      </c>
      <c r="G32" s="165">
        <f t="shared" si="7"/>
        <v>124670.71798438442</v>
      </c>
      <c r="H32" s="147">
        <f t="shared" si="8"/>
        <v>124670.71798438442</v>
      </c>
      <c r="I32" s="160">
        <f t="shared" si="0"/>
        <v>0</v>
      </c>
      <c r="J32" s="160"/>
      <c r="K32" s="335"/>
      <c r="L32" s="162">
        <f t="shared" si="1"/>
        <v>0</v>
      </c>
      <c r="M32" s="335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4"/>
        <v/>
      </c>
      <c r="C33" s="157">
        <f>IF(D11="","-",+C32+1)</f>
        <v>2033</v>
      </c>
      <c r="D33" s="166">
        <f>IF(F32+SUM(E$17:E32)=D$10,F32,D$10-SUM(E$17:E32))</f>
        <v>843191.13219461695</v>
      </c>
      <c r="E33" s="164">
        <f t="shared" si="5"/>
        <v>31880.428571428572</v>
      </c>
      <c r="F33" s="163">
        <f t="shared" si="6"/>
        <v>811310.70362318843</v>
      </c>
      <c r="G33" s="165">
        <f t="shared" si="7"/>
        <v>121227.4794087336</v>
      </c>
      <c r="H33" s="147">
        <f t="shared" si="8"/>
        <v>121227.4794087336</v>
      </c>
      <c r="I33" s="160">
        <f t="shared" si="0"/>
        <v>0</v>
      </c>
      <c r="J33" s="160"/>
      <c r="K33" s="335"/>
      <c r="L33" s="162">
        <f t="shared" si="1"/>
        <v>0</v>
      </c>
      <c r="M33" s="335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4"/>
        <v/>
      </c>
      <c r="C34" s="157">
        <f>IF(D11="","-",+C33+1)</f>
        <v>2034</v>
      </c>
      <c r="D34" s="166">
        <f>IF(F33+SUM(E$17:E33)=D$10,F33,D$10-SUM(E$17:E33))</f>
        <v>811310.70362318843</v>
      </c>
      <c r="E34" s="164">
        <f t="shared" si="5"/>
        <v>31880.428571428572</v>
      </c>
      <c r="F34" s="163">
        <f t="shared" si="6"/>
        <v>779430.27505175991</v>
      </c>
      <c r="G34" s="165">
        <f t="shared" si="7"/>
        <v>117784.24083308276</v>
      </c>
      <c r="H34" s="147">
        <f t="shared" si="8"/>
        <v>117784.24083308276</v>
      </c>
      <c r="I34" s="160">
        <f t="shared" si="0"/>
        <v>0</v>
      </c>
      <c r="J34" s="160"/>
      <c r="K34" s="335"/>
      <c r="L34" s="162">
        <f t="shared" si="1"/>
        <v>0</v>
      </c>
      <c r="M34" s="335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4"/>
        <v/>
      </c>
      <c r="C35" s="157">
        <f>IF(D11="","-",+C34+1)</f>
        <v>2035</v>
      </c>
      <c r="D35" s="166">
        <f>IF(F34+SUM(E$17:E34)=D$10,F34,D$10-SUM(E$17:E34))</f>
        <v>779430.27505175991</v>
      </c>
      <c r="E35" s="164">
        <f t="shared" si="5"/>
        <v>31880.428571428572</v>
      </c>
      <c r="F35" s="163">
        <f t="shared" si="6"/>
        <v>747549.84648033138</v>
      </c>
      <c r="G35" s="165">
        <f t="shared" si="7"/>
        <v>114341.00225743194</v>
      </c>
      <c r="H35" s="147">
        <f t="shared" si="8"/>
        <v>114341.00225743194</v>
      </c>
      <c r="I35" s="160">
        <f t="shared" si="0"/>
        <v>0</v>
      </c>
      <c r="J35" s="160"/>
      <c r="K35" s="335"/>
      <c r="L35" s="162">
        <f t="shared" si="1"/>
        <v>0</v>
      </c>
      <c r="M35" s="335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4"/>
        <v/>
      </c>
      <c r="C36" s="157">
        <f>IF(D11="","-",+C35+1)</f>
        <v>2036</v>
      </c>
      <c r="D36" s="166">
        <f>IF(F35+SUM(E$17:E35)=D$10,F35,D$10-SUM(E$17:E35))</f>
        <v>747549.84648033138</v>
      </c>
      <c r="E36" s="164">
        <f t="shared" si="5"/>
        <v>31880.428571428572</v>
      </c>
      <c r="F36" s="163">
        <f t="shared" si="6"/>
        <v>715669.41790890286</v>
      </c>
      <c r="G36" s="165">
        <f t="shared" si="7"/>
        <v>110897.7636817811</v>
      </c>
      <c r="H36" s="147">
        <f t="shared" si="8"/>
        <v>110897.7636817811</v>
      </c>
      <c r="I36" s="160">
        <f t="shared" si="0"/>
        <v>0</v>
      </c>
      <c r="J36" s="160"/>
      <c r="K36" s="335"/>
      <c r="L36" s="162">
        <f t="shared" si="1"/>
        <v>0</v>
      </c>
      <c r="M36" s="335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4"/>
        <v/>
      </c>
      <c r="C37" s="157">
        <f>IF(D11="","-",+C36+1)</f>
        <v>2037</v>
      </c>
      <c r="D37" s="166">
        <f>IF(F36+SUM(E$17:E36)=D$10,F36,D$10-SUM(E$17:E36))</f>
        <v>715669.41790890286</v>
      </c>
      <c r="E37" s="164">
        <f t="shared" si="5"/>
        <v>31880.428571428572</v>
      </c>
      <c r="F37" s="163">
        <f t="shared" si="6"/>
        <v>683788.98933747434</v>
      </c>
      <c r="G37" s="165">
        <f t="shared" si="7"/>
        <v>107454.52510613026</v>
      </c>
      <c r="H37" s="147">
        <f t="shared" si="8"/>
        <v>107454.52510613026</v>
      </c>
      <c r="I37" s="160">
        <f t="shared" si="0"/>
        <v>0</v>
      </c>
      <c r="J37" s="160"/>
      <c r="K37" s="335"/>
      <c r="L37" s="162">
        <f t="shared" si="1"/>
        <v>0</v>
      </c>
      <c r="M37" s="335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4"/>
        <v/>
      </c>
      <c r="C38" s="157">
        <f>IF(D11="","-",+C37+1)</f>
        <v>2038</v>
      </c>
      <c r="D38" s="166">
        <f>IF(F37+SUM(E$17:E37)=D$10,F37,D$10-SUM(E$17:E37))</f>
        <v>683788.98933747434</v>
      </c>
      <c r="E38" s="164">
        <f t="shared" si="5"/>
        <v>31880.428571428572</v>
      </c>
      <c r="F38" s="163">
        <f t="shared" si="6"/>
        <v>651908.56076604582</v>
      </c>
      <c r="G38" s="165">
        <f t="shared" si="7"/>
        <v>104011.28653047941</v>
      </c>
      <c r="H38" s="147">
        <f t="shared" si="8"/>
        <v>104011.28653047941</v>
      </c>
      <c r="I38" s="160">
        <f t="shared" si="0"/>
        <v>0</v>
      </c>
      <c r="J38" s="160"/>
      <c r="K38" s="335"/>
      <c r="L38" s="162">
        <f t="shared" si="1"/>
        <v>0</v>
      </c>
      <c r="M38" s="335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4"/>
        <v/>
      </c>
      <c r="C39" s="157">
        <f>IF(D11="","-",+C38+1)</f>
        <v>2039</v>
      </c>
      <c r="D39" s="166">
        <f>IF(F38+SUM(E$17:E38)=D$10,F38,D$10-SUM(E$17:E38))</f>
        <v>651908.56076604582</v>
      </c>
      <c r="E39" s="164">
        <f t="shared" si="5"/>
        <v>31880.428571428572</v>
      </c>
      <c r="F39" s="163">
        <f t="shared" si="6"/>
        <v>620028.1321946173</v>
      </c>
      <c r="G39" s="165">
        <f t="shared" si="7"/>
        <v>100568.04795482859</v>
      </c>
      <c r="H39" s="147">
        <f t="shared" si="8"/>
        <v>100568.04795482859</v>
      </c>
      <c r="I39" s="160">
        <f t="shared" si="0"/>
        <v>0</v>
      </c>
      <c r="J39" s="160"/>
      <c r="K39" s="335"/>
      <c r="L39" s="162">
        <f t="shared" si="1"/>
        <v>0</v>
      </c>
      <c r="M39" s="335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4"/>
        <v/>
      </c>
      <c r="C40" s="157">
        <f>IF(D11="","-",+C39+1)</f>
        <v>2040</v>
      </c>
      <c r="D40" s="166">
        <f>IF(F39+SUM(E$17:E39)=D$10,F39,D$10-SUM(E$17:E39))</f>
        <v>620028.1321946173</v>
      </c>
      <c r="E40" s="164">
        <f t="shared" si="5"/>
        <v>31880.428571428572</v>
      </c>
      <c r="F40" s="163">
        <f t="shared" si="6"/>
        <v>588147.70362318878</v>
      </c>
      <c r="G40" s="165">
        <f t="shared" si="7"/>
        <v>97124.80937917775</v>
      </c>
      <c r="H40" s="147">
        <f t="shared" si="8"/>
        <v>97124.80937917775</v>
      </c>
      <c r="I40" s="160">
        <f t="shared" si="0"/>
        <v>0</v>
      </c>
      <c r="J40" s="160"/>
      <c r="K40" s="335"/>
      <c r="L40" s="162">
        <f t="shared" si="1"/>
        <v>0</v>
      </c>
      <c r="M40" s="335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4"/>
        <v/>
      </c>
      <c r="C41" s="157">
        <f>IF(D11="","-",+C40+1)</f>
        <v>2041</v>
      </c>
      <c r="D41" s="166">
        <f>IF(F40+SUM(E$17:E40)=D$10,F40,D$10-SUM(E$17:E40))</f>
        <v>588147.70362318878</v>
      </c>
      <c r="E41" s="164">
        <f t="shared" si="5"/>
        <v>31880.428571428572</v>
      </c>
      <c r="F41" s="163">
        <f t="shared" si="6"/>
        <v>556267.27505176025</v>
      </c>
      <c r="G41" s="165">
        <f t="shared" si="7"/>
        <v>93681.570803526934</v>
      </c>
      <c r="H41" s="147">
        <f t="shared" si="8"/>
        <v>93681.570803526934</v>
      </c>
      <c r="I41" s="160">
        <f t="shared" si="0"/>
        <v>0</v>
      </c>
      <c r="J41" s="160"/>
      <c r="K41" s="335"/>
      <c r="L41" s="162">
        <f t="shared" si="1"/>
        <v>0</v>
      </c>
      <c r="M41" s="335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4"/>
        <v/>
      </c>
      <c r="C42" s="157">
        <f>IF(D11="","-",+C41+1)</f>
        <v>2042</v>
      </c>
      <c r="D42" s="166">
        <f>IF(F41+SUM(E$17:E41)=D$10,F41,D$10-SUM(E$17:E41))</f>
        <v>556267.27505176025</v>
      </c>
      <c r="E42" s="164">
        <f t="shared" si="5"/>
        <v>31880.428571428572</v>
      </c>
      <c r="F42" s="163">
        <f t="shared" si="6"/>
        <v>524386.84648033173</v>
      </c>
      <c r="G42" s="165">
        <f t="shared" si="7"/>
        <v>90238.332227876075</v>
      </c>
      <c r="H42" s="147">
        <f t="shared" si="8"/>
        <v>90238.332227876075</v>
      </c>
      <c r="I42" s="160">
        <f t="shared" si="0"/>
        <v>0</v>
      </c>
      <c r="J42" s="160"/>
      <c r="K42" s="335"/>
      <c r="L42" s="162">
        <f t="shared" si="1"/>
        <v>0</v>
      </c>
      <c r="M42" s="335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4"/>
        <v/>
      </c>
      <c r="C43" s="157">
        <f>IF(D11="","-",+C42+1)</f>
        <v>2043</v>
      </c>
      <c r="D43" s="166">
        <f>IF(F42+SUM(E$17:E42)=D$10,F42,D$10-SUM(E$17:E42))</f>
        <v>524386.84648033173</v>
      </c>
      <c r="E43" s="164">
        <f t="shared" si="5"/>
        <v>31880.428571428572</v>
      </c>
      <c r="F43" s="163">
        <f t="shared" si="6"/>
        <v>492506.41790890315</v>
      </c>
      <c r="G43" s="165">
        <f t="shared" si="7"/>
        <v>86795.093652225245</v>
      </c>
      <c r="H43" s="147">
        <f t="shared" si="8"/>
        <v>86795.093652225245</v>
      </c>
      <c r="I43" s="160">
        <f t="shared" si="0"/>
        <v>0</v>
      </c>
      <c r="J43" s="160"/>
      <c r="K43" s="335"/>
      <c r="L43" s="162">
        <f t="shared" si="1"/>
        <v>0</v>
      </c>
      <c r="M43" s="335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4"/>
        <v/>
      </c>
      <c r="C44" s="157">
        <f>IF(D11="","-",+C43+1)</f>
        <v>2044</v>
      </c>
      <c r="D44" s="166">
        <f>IF(F43+SUM(E$17:E43)=D$10,F43,D$10-SUM(E$17:E43))</f>
        <v>492506.41790890315</v>
      </c>
      <c r="E44" s="164">
        <f t="shared" si="5"/>
        <v>31880.428571428572</v>
      </c>
      <c r="F44" s="163">
        <f t="shared" si="6"/>
        <v>460625.98933747457</v>
      </c>
      <c r="G44" s="165">
        <f t="shared" si="7"/>
        <v>83351.8550765744</v>
      </c>
      <c r="H44" s="147">
        <f t="shared" si="8"/>
        <v>83351.8550765744</v>
      </c>
      <c r="I44" s="160">
        <f t="shared" si="0"/>
        <v>0</v>
      </c>
      <c r="J44" s="160"/>
      <c r="K44" s="335"/>
      <c r="L44" s="162">
        <f t="shared" si="1"/>
        <v>0</v>
      </c>
      <c r="M44" s="335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4"/>
        <v/>
      </c>
      <c r="C45" s="157">
        <f>IF(D11="","-",+C44+1)</f>
        <v>2045</v>
      </c>
      <c r="D45" s="166">
        <f>IF(F44+SUM(E$17:E44)=D$10,F44,D$10-SUM(E$17:E44))</f>
        <v>460625.98933747457</v>
      </c>
      <c r="E45" s="164">
        <f t="shared" si="5"/>
        <v>31880.428571428572</v>
      </c>
      <c r="F45" s="163">
        <f t="shared" si="6"/>
        <v>428745.56076604599</v>
      </c>
      <c r="G45" s="165">
        <f t="shared" si="7"/>
        <v>79908.616500923556</v>
      </c>
      <c r="H45" s="147">
        <f t="shared" si="8"/>
        <v>79908.616500923556</v>
      </c>
      <c r="I45" s="160">
        <f t="shared" si="0"/>
        <v>0</v>
      </c>
      <c r="J45" s="160"/>
      <c r="K45" s="335"/>
      <c r="L45" s="162">
        <f t="shared" si="1"/>
        <v>0</v>
      </c>
      <c r="M45" s="335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4"/>
        <v/>
      </c>
      <c r="C46" s="157">
        <f>IF(D11="","-",+C45+1)</f>
        <v>2046</v>
      </c>
      <c r="D46" s="166">
        <f>IF(F45+SUM(E$17:E45)=D$10,F45,D$10-SUM(E$17:E45))</f>
        <v>428745.56076604599</v>
      </c>
      <c r="E46" s="164">
        <f t="shared" si="5"/>
        <v>31880.428571428572</v>
      </c>
      <c r="F46" s="163">
        <f t="shared" si="6"/>
        <v>396865.13219461741</v>
      </c>
      <c r="G46" s="165">
        <f t="shared" si="7"/>
        <v>76465.377925272725</v>
      </c>
      <c r="H46" s="147">
        <f t="shared" si="8"/>
        <v>76465.377925272725</v>
      </c>
      <c r="I46" s="160">
        <f t="shared" si="0"/>
        <v>0</v>
      </c>
      <c r="J46" s="160"/>
      <c r="K46" s="335"/>
      <c r="L46" s="162">
        <f t="shared" si="1"/>
        <v>0</v>
      </c>
      <c r="M46" s="335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4"/>
        <v/>
      </c>
      <c r="C47" s="157">
        <f>IF(D11="","-",+C46+1)</f>
        <v>2047</v>
      </c>
      <c r="D47" s="166">
        <f>IF(F46+SUM(E$17:E46)=D$10,F46,D$10-SUM(E$17:E46))</f>
        <v>396865.13219461741</v>
      </c>
      <c r="E47" s="164">
        <f t="shared" si="5"/>
        <v>31880.428571428572</v>
      </c>
      <c r="F47" s="163">
        <f t="shared" si="6"/>
        <v>364984.70362318883</v>
      </c>
      <c r="G47" s="165">
        <f t="shared" si="7"/>
        <v>73022.139349621881</v>
      </c>
      <c r="H47" s="147">
        <f t="shared" si="8"/>
        <v>73022.139349621881</v>
      </c>
      <c r="I47" s="160">
        <f t="shared" si="0"/>
        <v>0</v>
      </c>
      <c r="J47" s="160"/>
      <c r="K47" s="335"/>
      <c r="L47" s="162">
        <f t="shared" si="1"/>
        <v>0</v>
      </c>
      <c r="M47" s="335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4"/>
        <v/>
      </c>
      <c r="C48" s="157">
        <f>IF(D11="","-",+C47+1)</f>
        <v>2048</v>
      </c>
      <c r="D48" s="166">
        <f>IF(F47+SUM(E$17:E47)=D$10,F47,D$10-SUM(E$17:E47))</f>
        <v>364984.70362318883</v>
      </c>
      <c r="E48" s="164">
        <f t="shared" si="5"/>
        <v>31880.428571428572</v>
      </c>
      <c r="F48" s="163">
        <f t="shared" si="6"/>
        <v>333104.27505176025</v>
      </c>
      <c r="G48" s="165">
        <f t="shared" si="7"/>
        <v>69578.900773971051</v>
      </c>
      <c r="H48" s="147">
        <f t="shared" si="8"/>
        <v>69578.900773971051</v>
      </c>
      <c r="I48" s="160">
        <f t="shared" si="0"/>
        <v>0</v>
      </c>
      <c r="J48" s="160"/>
      <c r="K48" s="335"/>
      <c r="L48" s="162">
        <f t="shared" si="1"/>
        <v>0</v>
      </c>
      <c r="M48" s="335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4"/>
        <v/>
      </c>
      <c r="C49" s="157">
        <f>IF(D11="","-",+C48+1)</f>
        <v>2049</v>
      </c>
      <c r="D49" s="166">
        <f>IF(F48+SUM(E$17:E48)=D$10,F48,D$10-SUM(E$17:E48))</f>
        <v>333104.27505176025</v>
      </c>
      <c r="E49" s="164">
        <f t="shared" si="5"/>
        <v>31880.428571428572</v>
      </c>
      <c r="F49" s="163">
        <f t="shared" si="6"/>
        <v>301223.84648033167</v>
      </c>
      <c r="G49" s="165">
        <f t="shared" si="7"/>
        <v>66135.662198320206</v>
      </c>
      <c r="H49" s="147">
        <f t="shared" si="8"/>
        <v>66135.662198320206</v>
      </c>
      <c r="I49" s="160">
        <f t="shared" si="0"/>
        <v>0</v>
      </c>
      <c r="J49" s="160"/>
      <c r="K49" s="335"/>
      <c r="L49" s="162">
        <f t="shared" si="1"/>
        <v>0</v>
      </c>
      <c r="M49" s="335"/>
      <c r="N49" s="162">
        <f t="shared" si="2"/>
        <v>0</v>
      </c>
      <c r="O49" s="162">
        <f t="shared" si="3"/>
        <v>0</v>
      </c>
      <c r="P49" s="4"/>
    </row>
    <row r="50" spans="2:16">
      <c r="B50" s="9" t="str">
        <f t="shared" si="4"/>
        <v/>
      </c>
      <c r="C50" s="157">
        <f>IF(D11="","-",+C49+1)</f>
        <v>2050</v>
      </c>
      <c r="D50" s="166">
        <f>IF(F49+SUM(E$17:E49)=D$10,F49,D$10-SUM(E$17:E49))</f>
        <v>301223.84648033167</v>
      </c>
      <c r="E50" s="164">
        <f t="shared" si="5"/>
        <v>31880.428571428572</v>
      </c>
      <c r="F50" s="163">
        <f t="shared" si="6"/>
        <v>269343.41790890309</v>
      </c>
      <c r="G50" s="165">
        <f t="shared" si="7"/>
        <v>62692.423622669361</v>
      </c>
      <c r="H50" s="147">
        <f t="shared" si="8"/>
        <v>62692.423622669361</v>
      </c>
      <c r="I50" s="160">
        <f t="shared" si="0"/>
        <v>0</v>
      </c>
      <c r="J50" s="160"/>
      <c r="K50" s="335"/>
      <c r="L50" s="162">
        <f t="shared" si="1"/>
        <v>0</v>
      </c>
      <c r="M50" s="335"/>
      <c r="N50" s="162">
        <f t="shared" si="2"/>
        <v>0</v>
      </c>
      <c r="O50" s="162">
        <f t="shared" si="3"/>
        <v>0</v>
      </c>
      <c r="P50" s="4"/>
    </row>
    <row r="51" spans="2:16">
      <c r="B51" s="9" t="str">
        <f t="shared" si="4"/>
        <v/>
      </c>
      <c r="C51" s="157">
        <f>IF(D11="","-",+C50+1)</f>
        <v>2051</v>
      </c>
      <c r="D51" s="166">
        <f>IF(F50+SUM(E$17:E50)=D$10,F50,D$10-SUM(E$17:E50))</f>
        <v>269343.41790890309</v>
      </c>
      <c r="E51" s="164">
        <f t="shared" si="5"/>
        <v>31880.428571428572</v>
      </c>
      <c r="F51" s="163">
        <f t="shared" si="6"/>
        <v>237462.98933747452</v>
      </c>
      <c r="G51" s="165">
        <f t="shared" si="7"/>
        <v>59249.185047018516</v>
      </c>
      <c r="H51" s="147">
        <f t="shared" si="8"/>
        <v>59249.185047018516</v>
      </c>
      <c r="I51" s="160">
        <f t="shared" si="0"/>
        <v>0</v>
      </c>
      <c r="J51" s="160"/>
      <c r="K51" s="335"/>
      <c r="L51" s="162">
        <f t="shared" si="1"/>
        <v>0</v>
      </c>
      <c r="M51" s="335"/>
      <c r="N51" s="162">
        <f t="shared" si="2"/>
        <v>0</v>
      </c>
      <c r="O51" s="162">
        <f t="shared" si="3"/>
        <v>0</v>
      </c>
      <c r="P51" s="4"/>
    </row>
    <row r="52" spans="2:16">
      <c r="B52" s="9" t="str">
        <f t="shared" si="4"/>
        <v/>
      </c>
      <c r="C52" s="157">
        <f>IF(D11="","-",+C51+1)</f>
        <v>2052</v>
      </c>
      <c r="D52" s="166">
        <f>IF(F51+SUM(E$17:E51)=D$10,F51,D$10-SUM(E$17:E51))</f>
        <v>237462.98933747452</v>
      </c>
      <c r="E52" s="164">
        <f t="shared" si="5"/>
        <v>31880.428571428572</v>
      </c>
      <c r="F52" s="163">
        <f t="shared" si="6"/>
        <v>205582.56076604594</v>
      </c>
      <c r="G52" s="165">
        <f t="shared" si="7"/>
        <v>55805.946471367679</v>
      </c>
      <c r="H52" s="147">
        <f t="shared" si="8"/>
        <v>55805.946471367679</v>
      </c>
      <c r="I52" s="160">
        <f t="shared" si="0"/>
        <v>0</v>
      </c>
      <c r="J52" s="160"/>
      <c r="K52" s="335"/>
      <c r="L52" s="162">
        <f t="shared" si="1"/>
        <v>0</v>
      </c>
      <c r="M52" s="335"/>
      <c r="N52" s="162">
        <f t="shared" si="2"/>
        <v>0</v>
      </c>
      <c r="O52" s="162">
        <f t="shared" si="3"/>
        <v>0</v>
      </c>
      <c r="P52" s="4"/>
    </row>
    <row r="53" spans="2:16">
      <c r="B53" s="9" t="str">
        <f t="shared" si="4"/>
        <v/>
      </c>
      <c r="C53" s="157">
        <f>IF(D11="","-",+C52+1)</f>
        <v>2053</v>
      </c>
      <c r="D53" s="166">
        <f>IF(F52+SUM(E$17:E52)=D$10,F52,D$10-SUM(E$17:E52))</f>
        <v>205582.56076604594</v>
      </c>
      <c r="E53" s="164">
        <f t="shared" si="5"/>
        <v>31880.428571428572</v>
      </c>
      <c r="F53" s="163">
        <f t="shared" si="6"/>
        <v>173702.13219461736</v>
      </c>
      <c r="G53" s="165">
        <f t="shared" si="7"/>
        <v>52362.707895716841</v>
      </c>
      <c r="H53" s="147">
        <f t="shared" si="8"/>
        <v>52362.707895716841</v>
      </c>
      <c r="I53" s="160">
        <f t="shared" si="0"/>
        <v>0</v>
      </c>
      <c r="J53" s="160"/>
      <c r="K53" s="335"/>
      <c r="L53" s="162">
        <f t="shared" si="1"/>
        <v>0</v>
      </c>
      <c r="M53" s="335"/>
      <c r="N53" s="162">
        <f t="shared" si="2"/>
        <v>0</v>
      </c>
      <c r="O53" s="162">
        <f t="shared" si="3"/>
        <v>0</v>
      </c>
      <c r="P53" s="4"/>
    </row>
    <row r="54" spans="2:16">
      <c r="B54" s="9" t="str">
        <f t="shared" si="4"/>
        <v/>
      </c>
      <c r="C54" s="157">
        <f>IF(D11="","-",+C53+1)</f>
        <v>2054</v>
      </c>
      <c r="D54" s="166">
        <f>IF(F53+SUM(E$17:E53)=D$10,F53,D$10-SUM(E$17:E53))</f>
        <v>173702.13219461736</v>
      </c>
      <c r="E54" s="164">
        <f t="shared" si="5"/>
        <v>31880.428571428572</v>
      </c>
      <c r="F54" s="163">
        <f t="shared" si="6"/>
        <v>141821.70362318878</v>
      </c>
      <c r="G54" s="165">
        <f t="shared" si="7"/>
        <v>48919.469320065997</v>
      </c>
      <c r="H54" s="147">
        <f t="shared" si="8"/>
        <v>48919.469320065997</v>
      </c>
      <c r="I54" s="160">
        <f t="shared" si="0"/>
        <v>0</v>
      </c>
      <c r="J54" s="160"/>
      <c r="K54" s="335"/>
      <c r="L54" s="162">
        <f t="shared" si="1"/>
        <v>0</v>
      </c>
      <c r="M54" s="335"/>
      <c r="N54" s="162">
        <f t="shared" si="2"/>
        <v>0</v>
      </c>
      <c r="O54" s="162">
        <f t="shared" si="3"/>
        <v>0</v>
      </c>
      <c r="P54" s="4"/>
    </row>
    <row r="55" spans="2:16">
      <c r="B55" s="9" t="str">
        <f t="shared" si="4"/>
        <v/>
      </c>
      <c r="C55" s="157">
        <f>IF(D11="","-",+C54+1)</f>
        <v>2055</v>
      </c>
      <c r="D55" s="166">
        <f>IF(F54+SUM(E$17:E54)=D$10,F54,D$10-SUM(E$17:E54))</f>
        <v>141821.70362318878</v>
      </c>
      <c r="E55" s="164">
        <f t="shared" si="5"/>
        <v>31880.428571428572</v>
      </c>
      <c r="F55" s="163">
        <f t="shared" si="6"/>
        <v>109941.2750517602</v>
      </c>
      <c r="G55" s="165">
        <f t="shared" si="7"/>
        <v>45476.230744415152</v>
      </c>
      <c r="H55" s="147">
        <f t="shared" si="8"/>
        <v>45476.230744415152</v>
      </c>
      <c r="I55" s="160">
        <f t="shared" si="0"/>
        <v>0</v>
      </c>
      <c r="J55" s="160"/>
      <c r="K55" s="335"/>
      <c r="L55" s="162">
        <f t="shared" si="1"/>
        <v>0</v>
      </c>
      <c r="M55" s="335"/>
      <c r="N55" s="162">
        <f t="shared" si="2"/>
        <v>0</v>
      </c>
      <c r="O55" s="162">
        <f t="shared" si="3"/>
        <v>0</v>
      </c>
      <c r="P55" s="4"/>
    </row>
    <row r="56" spans="2:16">
      <c r="B56" s="9" t="str">
        <f t="shared" si="4"/>
        <v/>
      </c>
      <c r="C56" s="157">
        <f>IF(D11="","-",+C55+1)</f>
        <v>2056</v>
      </c>
      <c r="D56" s="166">
        <f>IF(F55+SUM(E$17:E55)=D$10,F55,D$10-SUM(E$17:E55))</f>
        <v>109941.2750517602</v>
      </c>
      <c r="E56" s="164">
        <f t="shared" si="5"/>
        <v>31880.428571428572</v>
      </c>
      <c r="F56" s="163">
        <f t="shared" si="6"/>
        <v>78060.846480331616</v>
      </c>
      <c r="G56" s="165">
        <f t="shared" si="7"/>
        <v>42032.992168764315</v>
      </c>
      <c r="H56" s="147">
        <f t="shared" si="8"/>
        <v>42032.992168764315</v>
      </c>
      <c r="I56" s="160">
        <f t="shared" si="0"/>
        <v>0</v>
      </c>
      <c r="J56" s="160"/>
      <c r="K56" s="335"/>
      <c r="L56" s="162">
        <f t="shared" si="1"/>
        <v>0</v>
      </c>
      <c r="M56" s="335"/>
      <c r="N56" s="162">
        <f t="shared" si="2"/>
        <v>0</v>
      </c>
      <c r="O56" s="162">
        <f t="shared" si="3"/>
        <v>0</v>
      </c>
      <c r="P56" s="4"/>
    </row>
    <row r="57" spans="2:16">
      <c r="B57" s="9" t="str">
        <f t="shared" si="4"/>
        <v/>
      </c>
      <c r="C57" s="157">
        <f>IF(D11="","-",+C56+1)</f>
        <v>2057</v>
      </c>
      <c r="D57" s="166">
        <f>IF(F56+SUM(E$17:E56)=D$10,F56,D$10-SUM(E$17:E56))</f>
        <v>78060.846480331616</v>
      </c>
      <c r="E57" s="164">
        <f t="shared" si="5"/>
        <v>31880.428571428572</v>
      </c>
      <c r="F57" s="163">
        <f t="shared" si="6"/>
        <v>46180.417908903044</v>
      </c>
      <c r="G57" s="165">
        <f t="shared" si="7"/>
        <v>38589.75359311347</v>
      </c>
      <c r="H57" s="147">
        <f t="shared" si="8"/>
        <v>38589.75359311347</v>
      </c>
      <c r="I57" s="160">
        <f t="shared" si="0"/>
        <v>0</v>
      </c>
      <c r="J57" s="160"/>
      <c r="K57" s="335"/>
      <c r="L57" s="162">
        <f t="shared" si="1"/>
        <v>0</v>
      </c>
      <c r="M57" s="335"/>
      <c r="N57" s="162">
        <f t="shared" si="2"/>
        <v>0</v>
      </c>
      <c r="O57" s="162">
        <f t="shared" si="3"/>
        <v>0</v>
      </c>
      <c r="P57" s="4"/>
    </row>
    <row r="58" spans="2:16">
      <c r="B58" s="9" t="str">
        <f t="shared" si="4"/>
        <v/>
      </c>
      <c r="C58" s="157">
        <f>IF(D11="","-",+C57+1)</f>
        <v>2058</v>
      </c>
      <c r="D58" s="166">
        <f>IF(F57+SUM(E$17:E57)=D$10,F57,D$10-SUM(E$17:E57))</f>
        <v>46180.417908903044</v>
      </c>
      <c r="E58" s="164">
        <f t="shared" si="5"/>
        <v>31880.428571428572</v>
      </c>
      <c r="F58" s="163">
        <f t="shared" si="6"/>
        <v>14299.989337474472</v>
      </c>
      <c r="G58" s="165">
        <f t="shared" si="7"/>
        <v>35146.515017462632</v>
      </c>
      <c r="H58" s="147">
        <f t="shared" si="8"/>
        <v>35146.515017462632</v>
      </c>
      <c r="I58" s="160">
        <f t="shared" si="0"/>
        <v>0</v>
      </c>
      <c r="J58" s="160"/>
      <c r="K58" s="335"/>
      <c r="L58" s="162">
        <f t="shared" si="1"/>
        <v>0</v>
      </c>
      <c r="M58" s="335"/>
      <c r="N58" s="162">
        <f t="shared" si="2"/>
        <v>0</v>
      </c>
      <c r="O58" s="162">
        <f t="shared" si="3"/>
        <v>0</v>
      </c>
      <c r="P58" s="4"/>
    </row>
    <row r="59" spans="2:16">
      <c r="B59" s="9" t="str">
        <f t="shared" si="4"/>
        <v/>
      </c>
      <c r="C59" s="157">
        <f>IF(D11="","-",+C58+1)</f>
        <v>2059</v>
      </c>
      <c r="D59" s="166">
        <f>IF(F58+SUM(E$17:E58)=D$10,F58,D$10-SUM(E$17:E58))</f>
        <v>14299.989337474472</v>
      </c>
      <c r="E59" s="164">
        <f t="shared" si="5"/>
        <v>14299.989337474472</v>
      </c>
      <c r="F59" s="163">
        <f t="shared" si="6"/>
        <v>0</v>
      </c>
      <c r="G59" s="165">
        <f t="shared" si="7"/>
        <v>15072.22291657879</v>
      </c>
      <c r="H59" s="147">
        <f t="shared" si="8"/>
        <v>15072.22291657879</v>
      </c>
      <c r="I59" s="160">
        <f t="shared" si="0"/>
        <v>0</v>
      </c>
      <c r="J59" s="160"/>
      <c r="K59" s="335"/>
      <c r="L59" s="162">
        <f t="shared" si="1"/>
        <v>0</v>
      </c>
      <c r="M59" s="335"/>
      <c r="N59" s="162">
        <f t="shared" si="2"/>
        <v>0</v>
      </c>
      <c r="O59" s="162">
        <f t="shared" si="3"/>
        <v>0</v>
      </c>
      <c r="P59" s="4"/>
    </row>
    <row r="60" spans="2:16">
      <c r="B60" s="9" t="str">
        <f t="shared" si="4"/>
        <v/>
      </c>
      <c r="C60" s="157">
        <f>IF(D11="","-",+C59+1)</f>
        <v>2060</v>
      </c>
      <c r="D60" s="166">
        <f>IF(F59+SUM(E$17:E59)=D$10,F59,D$10-SUM(E$17:E59))</f>
        <v>0</v>
      </c>
      <c r="E60" s="164">
        <f t="shared" si="5"/>
        <v>0</v>
      </c>
      <c r="F60" s="163">
        <f t="shared" si="6"/>
        <v>0</v>
      </c>
      <c r="G60" s="165">
        <f t="shared" si="7"/>
        <v>0</v>
      </c>
      <c r="H60" s="147">
        <f t="shared" si="8"/>
        <v>0</v>
      </c>
      <c r="I60" s="160">
        <f t="shared" si="0"/>
        <v>0</v>
      </c>
      <c r="J60" s="160"/>
      <c r="K60" s="335"/>
      <c r="L60" s="162">
        <f t="shared" si="1"/>
        <v>0</v>
      </c>
      <c r="M60" s="335"/>
      <c r="N60" s="162">
        <f t="shared" si="2"/>
        <v>0</v>
      </c>
      <c r="O60" s="162">
        <f t="shared" si="3"/>
        <v>0</v>
      </c>
      <c r="P60" s="4"/>
    </row>
    <row r="61" spans="2:16">
      <c r="B61" s="9" t="str">
        <f t="shared" si="4"/>
        <v/>
      </c>
      <c r="C61" s="157">
        <f>IF(D11="","-",+C60+1)</f>
        <v>2061</v>
      </c>
      <c r="D61" s="166">
        <f>IF(F60+SUM(E$17:E60)=D$10,F60,D$10-SUM(E$17:E60))</f>
        <v>0</v>
      </c>
      <c r="E61" s="164">
        <f t="shared" si="5"/>
        <v>0</v>
      </c>
      <c r="F61" s="163">
        <f t="shared" si="6"/>
        <v>0</v>
      </c>
      <c r="G61" s="165">
        <f t="shared" si="7"/>
        <v>0</v>
      </c>
      <c r="H61" s="147">
        <f t="shared" si="8"/>
        <v>0</v>
      </c>
      <c r="I61" s="160">
        <f t="shared" si="0"/>
        <v>0</v>
      </c>
      <c r="J61" s="160"/>
      <c r="K61" s="335"/>
      <c r="L61" s="162">
        <f t="shared" si="1"/>
        <v>0</v>
      </c>
      <c r="M61" s="335"/>
      <c r="N61" s="162">
        <f t="shared" si="2"/>
        <v>0</v>
      </c>
      <c r="O61" s="162">
        <f t="shared" si="3"/>
        <v>0</v>
      </c>
      <c r="P61" s="4"/>
    </row>
    <row r="62" spans="2:16">
      <c r="B62" s="9" t="str">
        <f t="shared" si="4"/>
        <v/>
      </c>
      <c r="C62" s="157">
        <f>IF(D11="","-",+C61+1)</f>
        <v>2062</v>
      </c>
      <c r="D62" s="166">
        <f>IF(F61+SUM(E$17:E61)=D$10,F61,D$10-SUM(E$17:E61))</f>
        <v>0</v>
      </c>
      <c r="E62" s="164">
        <f t="shared" si="5"/>
        <v>0</v>
      </c>
      <c r="F62" s="163">
        <f t="shared" si="6"/>
        <v>0</v>
      </c>
      <c r="G62" s="165">
        <f t="shared" si="7"/>
        <v>0</v>
      </c>
      <c r="H62" s="147">
        <f t="shared" si="8"/>
        <v>0</v>
      </c>
      <c r="I62" s="160">
        <f t="shared" si="0"/>
        <v>0</v>
      </c>
      <c r="J62" s="160"/>
      <c r="K62" s="335"/>
      <c r="L62" s="162">
        <f t="shared" si="1"/>
        <v>0</v>
      </c>
      <c r="M62" s="335"/>
      <c r="N62" s="162">
        <f t="shared" si="2"/>
        <v>0</v>
      </c>
      <c r="O62" s="162">
        <f t="shared" si="3"/>
        <v>0</v>
      </c>
      <c r="P62" s="4"/>
    </row>
    <row r="63" spans="2:16">
      <c r="B63" s="9" t="str">
        <f t="shared" si="4"/>
        <v/>
      </c>
      <c r="C63" s="157">
        <f>IF(D11="","-",+C62+1)</f>
        <v>2063</v>
      </c>
      <c r="D63" s="166">
        <f>IF(F62+SUM(E$17:E62)=D$10,F62,D$10-SUM(E$17:E62))</f>
        <v>0</v>
      </c>
      <c r="E63" s="164">
        <f t="shared" si="5"/>
        <v>0</v>
      </c>
      <c r="F63" s="163">
        <f t="shared" si="6"/>
        <v>0</v>
      </c>
      <c r="G63" s="165">
        <f t="shared" si="7"/>
        <v>0</v>
      </c>
      <c r="H63" s="147">
        <f t="shared" si="8"/>
        <v>0</v>
      </c>
      <c r="I63" s="160">
        <f t="shared" si="0"/>
        <v>0</v>
      </c>
      <c r="J63" s="160"/>
      <c r="K63" s="335"/>
      <c r="L63" s="162">
        <f t="shared" si="1"/>
        <v>0</v>
      </c>
      <c r="M63" s="335"/>
      <c r="N63" s="162">
        <f t="shared" si="2"/>
        <v>0</v>
      </c>
      <c r="O63" s="162">
        <f t="shared" si="3"/>
        <v>0</v>
      </c>
      <c r="P63" s="4"/>
    </row>
    <row r="64" spans="2:16">
      <c r="B64" s="9" t="str">
        <f t="shared" si="4"/>
        <v/>
      </c>
      <c r="C64" s="157">
        <f>IF(D11="","-",+C63+1)</f>
        <v>2064</v>
      </c>
      <c r="D64" s="166">
        <f>IF(F63+SUM(E$17:E63)=D$10,F63,D$10-SUM(E$17:E63))</f>
        <v>0</v>
      </c>
      <c r="E64" s="164">
        <f t="shared" si="5"/>
        <v>0</v>
      </c>
      <c r="F64" s="163">
        <f t="shared" si="6"/>
        <v>0</v>
      </c>
      <c r="G64" s="165">
        <f t="shared" si="7"/>
        <v>0</v>
      </c>
      <c r="H64" s="147">
        <f t="shared" si="8"/>
        <v>0</v>
      </c>
      <c r="I64" s="160">
        <f t="shared" si="0"/>
        <v>0</v>
      </c>
      <c r="J64" s="160"/>
      <c r="K64" s="335"/>
      <c r="L64" s="162">
        <f t="shared" si="1"/>
        <v>0</v>
      </c>
      <c r="M64" s="335"/>
      <c r="N64" s="162">
        <f t="shared" si="2"/>
        <v>0</v>
      </c>
      <c r="O64" s="162">
        <f t="shared" si="3"/>
        <v>0</v>
      </c>
      <c r="P64" s="4"/>
    </row>
    <row r="65" spans="2:16">
      <c r="B65" s="9" t="str">
        <f t="shared" si="4"/>
        <v/>
      </c>
      <c r="C65" s="157">
        <f>IF(D11="","-",+C64+1)</f>
        <v>2065</v>
      </c>
      <c r="D65" s="166">
        <f>IF(F64+SUM(E$17:E64)=D$10,F64,D$10-SUM(E$17:E64))</f>
        <v>0</v>
      </c>
      <c r="E65" s="164">
        <f t="shared" si="5"/>
        <v>0</v>
      </c>
      <c r="F65" s="163">
        <f t="shared" si="6"/>
        <v>0</v>
      </c>
      <c r="G65" s="165">
        <f t="shared" si="7"/>
        <v>0</v>
      </c>
      <c r="H65" s="147">
        <f t="shared" si="8"/>
        <v>0</v>
      </c>
      <c r="I65" s="160">
        <f t="shared" si="0"/>
        <v>0</v>
      </c>
      <c r="J65" s="160"/>
      <c r="K65" s="335"/>
      <c r="L65" s="162">
        <f t="shared" si="1"/>
        <v>0</v>
      </c>
      <c r="M65" s="335"/>
      <c r="N65" s="162">
        <f t="shared" si="2"/>
        <v>0</v>
      </c>
      <c r="O65" s="162">
        <f t="shared" si="3"/>
        <v>0</v>
      </c>
      <c r="P65" s="4"/>
    </row>
    <row r="66" spans="2:16">
      <c r="B66" s="9" t="str">
        <f t="shared" si="4"/>
        <v/>
      </c>
      <c r="C66" s="157">
        <f>IF(D11="","-",+C65+1)</f>
        <v>2066</v>
      </c>
      <c r="D66" s="166">
        <f>IF(F65+SUM(E$17:E65)=D$10,F65,D$10-SUM(E$17:E65))</f>
        <v>0</v>
      </c>
      <c r="E66" s="164">
        <f t="shared" si="5"/>
        <v>0</v>
      </c>
      <c r="F66" s="163">
        <f t="shared" si="6"/>
        <v>0</v>
      </c>
      <c r="G66" s="165">
        <f t="shared" si="7"/>
        <v>0</v>
      </c>
      <c r="H66" s="147">
        <f t="shared" si="8"/>
        <v>0</v>
      </c>
      <c r="I66" s="160">
        <f t="shared" si="0"/>
        <v>0</v>
      </c>
      <c r="J66" s="160"/>
      <c r="K66" s="335"/>
      <c r="L66" s="162">
        <f t="shared" si="1"/>
        <v>0</v>
      </c>
      <c r="M66" s="335"/>
      <c r="N66" s="162">
        <f t="shared" si="2"/>
        <v>0</v>
      </c>
      <c r="O66" s="162">
        <f t="shared" si="3"/>
        <v>0</v>
      </c>
      <c r="P66" s="4"/>
    </row>
    <row r="67" spans="2:16">
      <c r="B67" s="9" t="str">
        <f t="shared" si="4"/>
        <v/>
      </c>
      <c r="C67" s="157">
        <f>IF(D11="","-",+C66+1)</f>
        <v>2067</v>
      </c>
      <c r="D67" s="166">
        <f>IF(F66+SUM(E$17:E66)=D$10,F66,D$10-SUM(E$17:E66))</f>
        <v>0</v>
      </c>
      <c r="E67" s="164">
        <f t="shared" si="5"/>
        <v>0</v>
      </c>
      <c r="F67" s="163">
        <f t="shared" si="6"/>
        <v>0</v>
      </c>
      <c r="G67" s="165">
        <f t="shared" si="7"/>
        <v>0</v>
      </c>
      <c r="H67" s="147">
        <f t="shared" si="8"/>
        <v>0</v>
      </c>
      <c r="I67" s="160">
        <f t="shared" si="0"/>
        <v>0</v>
      </c>
      <c r="J67" s="160"/>
      <c r="K67" s="335"/>
      <c r="L67" s="162">
        <f t="shared" si="1"/>
        <v>0</v>
      </c>
      <c r="M67" s="335"/>
      <c r="N67" s="162">
        <f t="shared" si="2"/>
        <v>0</v>
      </c>
      <c r="O67" s="162">
        <f t="shared" si="3"/>
        <v>0</v>
      </c>
      <c r="P67" s="4"/>
    </row>
    <row r="68" spans="2:16">
      <c r="B68" s="9" t="str">
        <f t="shared" si="4"/>
        <v/>
      </c>
      <c r="C68" s="157">
        <f>IF(D11="","-",+C67+1)</f>
        <v>2068</v>
      </c>
      <c r="D68" s="166">
        <f>IF(F67+SUM(E$17:E67)=D$10,F67,D$10-SUM(E$17:E67))</f>
        <v>0</v>
      </c>
      <c r="E68" s="164">
        <f t="shared" si="5"/>
        <v>0</v>
      </c>
      <c r="F68" s="163">
        <f t="shared" si="6"/>
        <v>0</v>
      </c>
      <c r="G68" s="165">
        <f t="shared" si="7"/>
        <v>0</v>
      </c>
      <c r="H68" s="147">
        <f t="shared" si="8"/>
        <v>0</v>
      </c>
      <c r="I68" s="160">
        <f t="shared" si="0"/>
        <v>0</v>
      </c>
      <c r="J68" s="160"/>
      <c r="K68" s="335"/>
      <c r="L68" s="162">
        <f t="shared" si="1"/>
        <v>0</v>
      </c>
      <c r="M68" s="335"/>
      <c r="N68" s="162">
        <f t="shared" si="2"/>
        <v>0</v>
      </c>
      <c r="O68" s="162">
        <f t="shared" si="3"/>
        <v>0</v>
      </c>
      <c r="P68" s="4"/>
    </row>
    <row r="69" spans="2:16">
      <c r="B69" s="9" t="str">
        <f t="shared" si="4"/>
        <v/>
      </c>
      <c r="C69" s="157">
        <f>IF(D11="","-",+C68+1)</f>
        <v>2069</v>
      </c>
      <c r="D69" s="166">
        <f>IF(F68+SUM(E$17:E68)=D$10,F68,D$10-SUM(E$17:E68))</f>
        <v>0</v>
      </c>
      <c r="E69" s="164">
        <f t="shared" si="5"/>
        <v>0</v>
      </c>
      <c r="F69" s="163">
        <f t="shared" si="6"/>
        <v>0</v>
      </c>
      <c r="G69" s="165">
        <f t="shared" si="7"/>
        <v>0</v>
      </c>
      <c r="H69" s="147">
        <f t="shared" si="8"/>
        <v>0</v>
      </c>
      <c r="I69" s="160">
        <f t="shared" si="0"/>
        <v>0</v>
      </c>
      <c r="J69" s="160"/>
      <c r="K69" s="335"/>
      <c r="L69" s="162">
        <f t="shared" si="1"/>
        <v>0</v>
      </c>
      <c r="M69" s="335"/>
      <c r="N69" s="162">
        <f t="shared" si="2"/>
        <v>0</v>
      </c>
      <c r="O69" s="162">
        <f t="shared" si="3"/>
        <v>0</v>
      </c>
      <c r="P69" s="4"/>
    </row>
    <row r="70" spans="2:16">
      <c r="B70" s="9" t="str">
        <f t="shared" si="4"/>
        <v/>
      </c>
      <c r="C70" s="157">
        <f>IF(D11="","-",+C69+1)</f>
        <v>2070</v>
      </c>
      <c r="D70" s="166">
        <f>IF(F69+SUM(E$17:E69)=D$10,F69,D$10-SUM(E$17:E69))</f>
        <v>0</v>
      </c>
      <c r="E70" s="164">
        <f t="shared" si="5"/>
        <v>0</v>
      </c>
      <c r="F70" s="163">
        <f t="shared" si="6"/>
        <v>0</v>
      </c>
      <c r="G70" s="165">
        <f t="shared" si="7"/>
        <v>0</v>
      </c>
      <c r="H70" s="147">
        <f t="shared" si="8"/>
        <v>0</v>
      </c>
      <c r="I70" s="160">
        <f t="shared" si="0"/>
        <v>0</v>
      </c>
      <c r="J70" s="160"/>
      <c r="K70" s="335"/>
      <c r="L70" s="162">
        <f t="shared" si="1"/>
        <v>0</v>
      </c>
      <c r="M70" s="335"/>
      <c r="N70" s="162">
        <f t="shared" si="2"/>
        <v>0</v>
      </c>
      <c r="O70" s="162">
        <f t="shared" si="3"/>
        <v>0</v>
      </c>
      <c r="P70" s="4"/>
    </row>
    <row r="71" spans="2:16">
      <c r="B71" s="9" t="str">
        <f t="shared" si="4"/>
        <v/>
      </c>
      <c r="C71" s="157">
        <f>IF(D11="","-",+C70+1)</f>
        <v>2071</v>
      </c>
      <c r="D71" s="166">
        <f>IF(F70+SUM(E$17:E70)=D$10,F70,D$10-SUM(E$17:E70))</f>
        <v>0</v>
      </c>
      <c r="E71" s="164">
        <f t="shared" si="5"/>
        <v>0</v>
      </c>
      <c r="F71" s="163">
        <f t="shared" si="6"/>
        <v>0</v>
      </c>
      <c r="G71" s="165">
        <f t="shared" si="7"/>
        <v>0</v>
      </c>
      <c r="H71" s="147">
        <f t="shared" si="8"/>
        <v>0</v>
      </c>
      <c r="I71" s="160">
        <f t="shared" si="0"/>
        <v>0</v>
      </c>
      <c r="J71" s="160"/>
      <c r="K71" s="335"/>
      <c r="L71" s="162">
        <f t="shared" si="1"/>
        <v>0</v>
      </c>
      <c r="M71" s="335"/>
      <c r="N71" s="162">
        <f t="shared" si="2"/>
        <v>0</v>
      </c>
      <c r="O71" s="162">
        <f t="shared" si="3"/>
        <v>0</v>
      </c>
      <c r="P71" s="4"/>
    </row>
    <row r="72" spans="2:16" ht="13.5" thickBot="1">
      <c r="B72" s="9" t="str">
        <f t="shared" si="4"/>
        <v/>
      </c>
      <c r="C72" s="168">
        <f>IF(D11="","-",+C71+1)</f>
        <v>2072</v>
      </c>
      <c r="D72" s="462">
        <f>IF(F71+SUM(E$17:E71)=D$10,F71,D$10-SUM(E$17:E71))</f>
        <v>0</v>
      </c>
      <c r="E72" s="170">
        <f t="shared" si="5"/>
        <v>0</v>
      </c>
      <c r="F72" s="169">
        <f t="shared" si="6"/>
        <v>0</v>
      </c>
      <c r="G72" s="377">
        <f t="shared" si="7"/>
        <v>0</v>
      </c>
      <c r="H72" s="130">
        <f t="shared" si="8"/>
        <v>0</v>
      </c>
      <c r="I72" s="172">
        <f t="shared" si="0"/>
        <v>0</v>
      </c>
      <c r="J72" s="160"/>
      <c r="K72" s="336"/>
      <c r="L72" s="173">
        <f t="shared" si="1"/>
        <v>0</v>
      </c>
      <c r="M72" s="336"/>
      <c r="N72" s="173">
        <f t="shared" si="2"/>
        <v>0</v>
      </c>
      <c r="O72" s="173">
        <f t="shared" si="3"/>
        <v>0</v>
      </c>
      <c r="P72" s="4"/>
    </row>
    <row r="73" spans="2:16">
      <c r="C73" s="158" t="s">
        <v>72</v>
      </c>
      <c r="D73" s="115"/>
      <c r="E73" s="115">
        <f>SUM(E17:E72)</f>
        <v>1338978.0000000002</v>
      </c>
      <c r="F73" s="115"/>
      <c r="G73" s="115">
        <f>SUM(G17:G72)</f>
        <v>4450837.2604081258</v>
      </c>
      <c r="H73" s="115">
        <f>SUM(H17:H72)</f>
        <v>4450837.2604081258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19 of 28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2018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205998.2169756256</v>
      </c>
      <c r="N87" s="202">
        <f>IF(J92&lt;D11,0,VLOOKUP(J92,C17:O72,11))</f>
        <v>205998.2169756256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164857.30223166285</v>
      </c>
      <c r="N88" s="204">
        <f>IF(J92&lt;D11,0,VLOOKUP(J92,C99:P154,7))</f>
        <v>164857.30223166285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Valliant-NW Texarkana 345 kV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-41140.914743962756</v>
      </c>
      <c r="N89" s="207">
        <f>+N88-N87</f>
        <v>-41140.914743962756</v>
      </c>
      <c r="O89" s="208">
        <f>+O88-O87</f>
        <v>0</v>
      </c>
      <c r="P89" s="1"/>
    </row>
    <row r="90" spans="1:16" ht="13.5" thickBot="1">
      <c r="C90" s="174"/>
      <c r="D90" s="177" t="str">
        <f>D8</f>
        <v/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>
        <f>+D9</f>
        <v>0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222">
        <f>IF(D11=I10,0,D10)</f>
        <v>1338978</v>
      </c>
      <c r="E92" s="22" t="s">
        <v>89</v>
      </c>
      <c r="H92" s="139"/>
      <c r="I92" s="139"/>
      <c r="J92" s="140">
        <f>+'PSO.WS.G.BPU.ATRR.True-up'!M16</f>
        <v>2018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2017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3</v>
      </c>
      <c r="E94" s="141" t="s">
        <v>51</v>
      </c>
      <c r="F94" s="139"/>
      <c r="G94" s="139"/>
      <c r="J94" s="145">
        <f>'PSO.WS.G.BPU.ATRR.True-up'!$F$81</f>
        <v>0.10273556682691798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43</v>
      </c>
      <c r="E95" s="141" t="s">
        <v>54</v>
      </c>
      <c r="F95" s="139"/>
      <c r="G95" s="139"/>
      <c r="J95" s="145">
        <f>IF(H87="",J94,'PSO.WS.G.BPU.ATRR.True-up'!$F$80)</f>
        <v>0.10273556682691798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31139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277</v>
      </c>
      <c r="I97" s="339" t="s">
        <v>278</v>
      </c>
      <c r="J97" s="214" t="s">
        <v>93</v>
      </c>
      <c r="K97" s="216"/>
      <c r="L97" s="151" t="s">
        <v>97</v>
      </c>
      <c r="M97" s="151" t="s">
        <v>94</v>
      </c>
      <c r="N97" s="151" t="s">
        <v>97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2017</v>
      </c>
      <c r="D99" s="435">
        <v>0</v>
      </c>
      <c r="E99" s="436">
        <v>21831</v>
      </c>
      <c r="F99" s="437">
        <v>1317147</v>
      </c>
      <c r="G99" s="447">
        <v>658573.5</v>
      </c>
      <c r="H99" s="448">
        <v>105372.70906867021</v>
      </c>
      <c r="I99" s="449">
        <v>105372.70906867021</v>
      </c>
      <c r="J99" s="162">
        <f t="shared" ref="J99:J130" si="9">+I99-H99</f>
        <v>0</v>
      </c>
      <c r="K99" s="162"/>
      <c r="L99" s="338">
        <f>H99</f>
        <v>105372.70906867021</v>
      </c>
      <c r="M99" s="439">
        <f>IF(L99&lt;&gt;0,+H99-L99,0)</f>
        <v>0</v>
      </c>
      <c r="N99" s="338">
        <f>I99</f>
        <v>105372.70906867021</v>
      </c>
      <c r="O99" s="162">
        <f>IF(N99&lt;&gt;0,+I99-N99,0)</f>
        <v>0</v>
      </c>
      <c r="P99" s="160">
        <f>+O99-M99</f>
        <v>0</v>
      </c>
    </row>
    <row r="100" spans="1:16">
      <c r="B100" s="9" t="str">
        <f>IF(D100=F99,"","IU")</f>
        <v/>
      </c>
      <c r="C100" s="157">
        <f>IF(D93="","-",+C99+1)</f>
        <v>2018</v>
      </c>
      <c r="D100" s="158">
        <f>IF(F99+SUM(E$99:E99)=D$92,F99,D$92-SUM(E$99:E99))</f>
        <v>1317147</v>
      </c>
      <c r="E100" s="164">
        <f>IF(+J$96&lt;F99,J$96,D100)</f>
        <v>31139</v>
      </c>
      <c r="F100" s="163">
        <f>+D100-E100</f>
        <v>1286008</v>
      </c>
      <c r="G100" s="163">
        <f>+(F100+D100)/2</f>
        <v>1301577.5</v>
      </c>
      <c r="H100" s="333">
        <f t="shared" ref="H100:H154" si="10">+J$94*G100+E100</f>
        <v>164857.30223166285</v>
      </c>
      <c r="I100" s="344">
        <f t="shared" ref="I100:I154" si="11">+J$95*G100+E100</f>
        <v>164857.30223166285</v>
      </c>
      <c r="J100" s="162">
        <f t="shared" si="9"/>
        <v>0</v>
      </c>
      <c r="K100" s="162"/>
      <c r="L100" s="335"/>
      <c r="M100" s="162">
        <f t="shared" ref="M100:M130" si="12">IF(L100&lt;&gt;0,+H100-L100,0)</f>
        <v>0</v>
      </c>
      <c r="N100" s="335"/>
      <c r="O100" s="162">
        <f t="shared" ref="O100:O130" si="13">IF(N100&lt;&gt;0,+I100-N100,0)</f>
        <v>0</v>
      </c>
      <c r="P100" s="162">
        <f t="shared" ref="P100:P130" si="14">+O100-M100</f>
        <v>0</v>
      </c>
    </row>
    <row r="101" spans="1:16">
      <c r="B101" s="9" t="str">
        <f t="shared" ref="B101:B154" si="15">IF(D101=F100,"","IU")</f>
        <v/>
      </c>
      <c r="C101" s="157">
        <f>IF(D93="","-",+C100+1)</f>
        <v>2019</v>
      </c>
      <c r="D101" s="158">
        <f>IF(F100+SUM(E$99:E100)=D$92,F100,D$92-SUM(E$99:E100))</f>
        <v>1286008</v>
      </c>
      <c r="E101" s="164">
        <f t="shared" ref="E101:E154" si="16">IF(+J$96&lt;F100,J$96,D101)</f>
        <v>31139</v>
      </c>
      <c r="F101" s="163">
        <f t="shared" ref="F101:F154" si="17">+D101-E101</f>
        <v>1254869</v>
      </c>
      <c r="G101" s="163">
        <f t="shared" ref="G101:G154" si="18">+(F101+D101)/2</f>
        <v>1270438.5</v>
      </c>
      <c r="H101" s="333">
        <f t="shared" si="10"/>
        <v>161658.21941623942</v>
      </c>
      <c r="I101" s="344">
        <f t="shared" si="11"/>
        <v>161658.21941623942</v>
      </c>
      <c r="J101" s="162">
        <f t="shared" si="9"/>
        <v>0</v>
      </c>
      <c r="K101" s="162"/>
      <c r="L101" s="335"/>
      <c r="M101" s="162">
        <f t="shared" si="12"/>
        <v>0</v>
      </c>
      <c r="N101" s="335"/>
      <c r="O101" s="162">
        <f t="shared" si="13"/>
        <v>0</v>
      </c>
      <c r="P101" s="162">
        <f t="shared" si="14"/>
        <v>0</v>
      </c>
    </row>
    <row r="102" spans="1:16">
      <c r="B102" s="9" t="str">
        <f t="shared" si="15"/>
        <v/>
      </c>
      <c r="C102" s="157">
        <f>IF(D93="","-",+C101+1)</f>
        <v>2020</v>
      </c>
      <c r="D102" s="158">
        <f>IF(F101+SUM(E$99:E101)=D$92,F101,D$92-SUM(E$99:E101))</f>
        <v>1254869</v>
      </c>
      <c r="E102" s="164">
        <f t="shared" si="16"/>
        <v>31139</v>
      </c>
      <c r="F102" s="163">
        <f t="shared" si="17"/>
        <v>1223730</v>
      </c>
      <c r="G102" s="163">
        <f t="shared" si="18"/>
        <v>1239299.5</v>
      </c>
      <c r="H102" s="333">
        <f t="shared" si="10"/>
        <v>158459.13660081604</v>
      </c>
      <c r="I102" s="344">
        <f t="shared" si="11"/>
        <v>158459.13660081604</v>
      </c>
      <c r="J102" s="162">
        <f t="shared" si="9"/>
        <v>0</v>
      </c>
      <c r="K102" s="162"/>
      <c r="L102" s="335"/>
      <c r="M102" s="162">
        <f t="shared" si="12"/>
        <v>0</v>
      </c>
      <c r="N102" s="335"/>
      <c r="O102" s="162">
        <f t="shared" si="13"/>
        <v>0</v>
      </c>
      <c r="P102" s="162">
        <f t="shared" si="14"/>
        <v>0</v>
      </c>
    </row>
    <row r="103" spans="1:16">
      <c r="B103" s="9" t="str">
        <f t="shared" si="15"/>
        <v/>
      </c>
      <c r="C103" s="157">
        <f>IF(D93="","-",+C102+1)</f>
        <v>2021</v>
      </c>
      <c r="D103" s="158">
        <f>IF(F102+SUM(E$99:E102)=D$92,F102,D$92-SUM(E$99:E102))</f>
        <v>1223730</v>
      </c>
      <c r="E103" s="164">
        <f t="shared" si="16"/>
        <v>31139</v>
      </c>
      <c r="F103" s="163">
        <f t="shared" si="17"/>
        <v>1192591</v>
      </c>
      <c r="G103" s="163">
        <f t="shared" si="18"/>
        <v>1208160.5</v>
      </c>
      <c r="H103" s="333">
        <f t="shared" si="10"/>
        <v>155260.05378539264</v>
      </c>
      <c r="I103" s="344">
        <f t="shared" si="11"/>
        <v>155260.05378539264</v>
      </c>
      <c r="J103" s="162">
        <f t="shared" si="9"/>
        <v>0</v>
      </c>
      <c r="K103" s="162"/>
      <c r="L103" s="335"/>
      <c r="M103" s="162">
        <f t="shared" si="12"/>
        <v>0</v>
      </c>
      <c r="N103" s="335"/>
      <c r="O103" s="162">
        <f t="shared" si="13"/>
        <v>0</v>
      </c>
      <c r="P103" s="162">
        <f t="shared" si="14"/>
        <v>0</v>
      </c>
    </row>
    <row r="104" spans="1:16">
      <c r="B104" s="9" t="str">
        <f t="shared" si="15"/>
        <v/>
      </c>
      <c r="C104" s="157">
        <f>IF(D93="","-",+C103+1)</f>
        <v>2022</v>
      </c>
      <c r="D104" s="158">
        <f>IF(F103+SUM(E$99:E103)=D$92,F103,D$92-SUM(E$99:E103))</f>
        <v>1192591</v>
      </c>
      <c r="E104" s="164">
        <f t="shared" si="16"/>
        <v>31139</v>
      </c>
      <c r="F104" s="163">
        <f t="shared" si="17"/>
        <v>1161452</v>
      </c>
      <c r="G104" s="163">
        <f t="shared" si="18"/>
        <v>1177021.5</v>
      </c>
      <c r="H104" s="333">
        <f t="shared" si="10"/>
        <v>152060.97096996923</v>
      </c>
      <c r="I104" s="344">
        <f t="shared" si="11"/>
        <v>152060.97096996923</v>
      </c>
      <c r="J104" s="162">
        <f t="shared" si="9"/>
        <v>0</v>
      </c>
      <c r="K104" s="162"/>
      <c r="L104" s="335"/>
      <c r="M104" s="162">
        <f t="shared" si="12"/>
        <v>0</v>
      </c>
      <c r="N104" s="335"/>
      <c r="O104" s="162">
        <f t="shared" si="13"/>
        <v>0</v>
      </c>
      <c r="P104" s="162">
        <f t="shared" si="14"/>
        <v>0</v>
      </c>
    </row>
    <row r="105" spans="1:16">
      <c r="B105" s="9" t="str">
        <f t="shared" si="15"/>
        <v/>
      </c>
      <c r="C105" s="157">
        <f>IF(D93="","-",+C104+1)</f>
        <v>2023</v>
      </c>
      <c r="D105" s="158">
        <f>IF(F104+SUM(E$99:E104)=D$92,F104,D$92-SUM(E$99:E104))</f>
        <v>1161452</v>
      </c>
      <c r="E105" s="164">
        <f t="shared" si="16"/>
        <v>31139</v>
      </c>
      <c r="F105" s="163">
        <f t="shared" si="17"/>
        <v>1130313</v>
      </c>
      <c r="G105" s="163">
        <f t="shared" si="18"/>
        <v>1145882.5</v>
      </c>
      <c r="H105" s="333">
        <f t="shared" si="10"/>
        <v>148861.88815454586</v>
      </c>
      <c r="I105" s="344">
        <f t="shared" si="11"/>
        <v>148861.88815454586</v>
      </c>
      <c r="J105" s="162">
        <f t="shared" si="9"/>
        <v>0</v>
      </c>
      <c r="K105" s="162"/>
      <c r="L105" s="335"/>
      <c r="M105" s="162">
        <f t="shared" si="12"/>
        <v>0</v>
      </c>
      <c r="N105" s="335"/>
      <c r="O105" s="162">
        <f t="shared" si="13"/>
        <v>0</v>
      </c>
      <c r="P105" s="162">
        <f t="shared" si="14"/>
        <v>0</v>
      </c>
    </row>
    <row r="106" spans="1:16">
      <c r="B106" s="9" t="str">
        <f t="shared" si="15"/>
        <v/>
      </c>
      <c r="C106" s="157">
        <f>IF(D93="","-",+C105+1)</f>
        <v>2024</v>
      </c>
      <c r="D106" s="158">
        <f>IF(F105+SUM(E$99:E105)=D$92,F105,D$92-SUM(E$99:E105))</f>
        <v>1130313</v>
      </c>
      <c r="E106" s="164">
        <f t="shared" si="16"/>
        <v>31139</v>
      </c>
      <c r="F106" s="163">
        <f t="shared" si="17"/>
        <v>1099174</v>
      </c>
      <c r="G106" s="163">
        <f t="shared" si="18"/>
        <v>1114743.5</v>
      </c>
      <c r="H106" s="333">
        <f t="shared" si="10"/>
        <v>145662.80533912242</v>
      </c>
      <c r="I106" s="344">
        <f t="shared" si="11"/>
        <v>145662.80533912242</v>
      </c>
      <c r="J106" s="162">
        <f t="shared" si="9"/>
        <v>0</v>
      </c>
      <c r="K106" s="162"/>
      <c r="L106" s="335"/>
      <c r="M106" s="162">
        <f t="shared" si="12"/>
        <v>0</v>
      </c>
      <c r="N106" s="335"/>
      <c r="O106" s="162">
        <f t="shared" si="13"/>
        <v>0</v>
      </c>
      <c r="P106" s="162">
        <f t="shared" si="14"/>
        <v>0</v>
      </c>
    </row>
    <row r="107" spans="1:16">
      <c r="B107" s="9" t="str">
        <f t="shared" si="15"/>
        <v/>
      </c>
      <c r="C107" s="157">
        <f>IF(D93="","-",+C106+1)</f>
        <v>2025</v>
      </c>
      <c r="D107" s="158">
        <f>IF(F106+SUM(E$99:E106)=D$92,F106,D$92-SUM(E$99:E106))</f>
        <v>1099174</v>
      </c>
      <c r="E107" s="164">
        <f t="shared" si="16"/>
        <v>31139</v>
      </c>
      <c r="F107" s="163">
        <f t="shared" si="17"/>
        <v>1068035</v>
      </c>
      <c r="G107" s="163">
        <f t="shared" si="18"/>
        <v>1083604.5</v>
      </c>
      <c r="H107" s="333">
        <f t="shared" si="10"/>
        <v>142463.72252369905</v>
      </c>
      <c r="I107" s="344">
        <f t="shared" si="11"/>
        <v>142463.72252369905</v>
      </c>
      <c r="J107" s="162">
        <f t="shared" si="9"/>
        <v>0</v>
      </c>
      <c r="K107" s="162"/>
      <c r="L107" s="335"/>
      <c r="M107" s="162">
        <f t="shared" si="12"/>
        <v>0</v>
      </c>
      <c r="N107" s="335"/>
      <c r="O107" s="162">
        <f t="shared" si="13"/>
        <v>0</v>
      </c>
      <c r="P107" s="162">
        <f t="shared" si="14"/>
        <v>0</v>
      </c>
    </row>
    <row r="108" spans="1:16">
      <c r="B108" s="9" t="str">
        <f t="shared" si="15"/>
        <v/>
      </c>
      <c r="C108" s="157">
        <f>IF(D93="","-",+C107+1)</f>
        <v>2026</v>
      </c>
      <c r="D108" s="158">
        <f>IF(F107+SUM(E$99:E107)=D$92,F107,D$92-SUM(E$99:E107))</f>
        <v>1068035</v>
      </c>
      <c r="E108" s="164">
        <f t="shared" si="16"/>
        <v>31139</v>
      </c>
      <c r="F108" s="163">
        <f t="shared" si="17"/>
        <v>1036896</v>
      </c>
      <c r="G108" s="163">
        <f t="shared" si="18"/>
        <v>1052465.5</v>
      </c>
      <c r="H108" s="333">
        <f t="shared" si="10"/>
        <v>139264.63970827564</v>
      </c>
      <c r="I108" s="344">
        <f t="shared" si="11"/>
        <v>139264.63970827564</v>
      </c>
      <c r="J108" s="162">
        <f t="shared" si="9"/>
        <v>0</v>
      </c>
      <c r="K108" s="162"/>
      <c r="L108" s="335"/>
      <c r="M108" s="162">
        <f t="shared" si="12"/>
        <v>0</v>
      </c>
      <c r="N108" s="335"/>
      <c r="O108" s="162">
        <f t="shared" si="13"/>
        <v>0</v>
      </c>
      <c r="P108" s="162">
        <f t="shared" si="14"/>
        <v>0</v>
      </c>
    </row>
    <row r="109" spans="1:16">
      <c r="B109" s="9" t="str">
        <f t="shared" si="15"/>
        <v/>
      </c>
      <c r="C109" s="157">
        <f>IF(D93="","-",+C108+1)</f>
        <v>2027</v>
      </c>
      <c r="D109" s="158">
        <f>IF(F108+SUM(E$99:E108)=D$92,F108,D$92-SUM(E$99:E108))</f>
        <v>1036896</v>
      </c>
      <c r="E109" s="164">
        <f t="shared" si="16"/>
        <v>31139</v>
      </c>
      <c r="F109" s="163">
        <f t="shared" si="17"/>
        <v>1005757</v>
      </c>
      <c r="G109" s="163">
        <f t="shared" si="18"/>
        <v>1021326.5</v>
      </c>
      <c r="H109" s="333">
        <f t="shared" si="10"/>
        <v>136065.55689285224</v>
      </c>
      <c r="I109" s="344">
        <f t="shared" si="11"/>
        <v>136065.55689285224</v>
      </c>
      <c r="J109" s="162">
        <f t="shared" si="9"/>
        <v>0</v>
      </c>
      <c r="K109" s="162"/>
      <c r="L109" s="335"/>
      <c r="M109" s="162">
        <f t="shared" si="12"/>
        <v>0</v>
      </c>
      <c r="N109" s="335"/>
      <c r="O109" s="162">
        <f t="shared" si="13"/>
        <v>0</v>
      </c>
      <c r="P109" s="162">
        <f t="shared" si="14"/>
        <v>0</v>
      </c>
    </row>
    <row r="110" spans="1:16">
      <c r="B110" s="9" t="str">
        <f t="shared" si="15"/>
        <v/>
      </c>
      <c r="C110" s="157">
        <f>IF(D93="","-",+C109+1)</f>
        <v>2028</v>
      </c>
      <c r="D110" s="158">
        <f>IF(F109+SUM(E$99:E109)=D$92,F109,D$92-SUM(E$99:E109))</f>
        <v>1005757</v>
      </c>
      <c r="E110" s="164">
        <f t="shared" si="16"/>
        <v>31139</v>
      </c>
      <c r="F110" s="163">
        <f t="shared" si="17"/>
        <v>974618</v>
      </c>
      <c r="G110" s="163">
        <f t="shared" si="18"/>
        <v>990187.5</v>
      </c>
      <c r="H110" s="333">
        <f t="shared" si="10"/>
        <v>132866.47407742887</v>
      </c>
      <c r="I110" s="344">
        <f t="shared" si="11"/>
        <v>132866.47407742887</v>
      </c>
      <c r="J110" s="162">
        <f t="shared" si="9"/>
        <v>0</v>
      </c>
      <c r="K110" s="162"/>
      <c r="L110" s="335"/>
      <c r="M110" s="162">
        <f t="shared" si="12"/>
        <v>0</v>
      </c>
      <c r="N110" s="335"/>
      <c r="O110" s="162">
        <f t="shared" si="13"/>
        <v>0</v>
      </c>
      <c r="P110" s="162">
        <f t="shared" si="14"/>
        <v>0</v>
      </c>
    </row>
    <row r="111" spans="1:16">
      <c r="B111" s="9" t="str">
        <f t="shared" si="15"/>
        <v/>
      </c>
      <c r="C111" s="157">
        <f>IF(D93="","-",+C110+1)</f>
        <v>2029</v>
      </c>
      <c r="D111" s="158">
        <f>IF(F110+SUM(E$99:E110)=D$92,F110,D$92-SUM(E$99:E110))</f>
        <v>974618</v>
      </c>
      <c r="E111" s="164">
        <f t="shared" si="16"/>
        <v>31139</v>
      </c>
      <c r="F111" s="163">
        <f t="shared" si="17"/>
        <v>943479</v>
      </c>
      <c r="G111" s="163">
        <f t="shared" si="18"/>
        <v>959048.5</v>
      </c>
      <c r="H111" s="333">
        <f t="shared" si="10"/>
        <v>129667.39126200545</v>
      </c>
      <c r="I111" s="344">
        <f t="shared" si="11"/>
        <v>129667.39126200545</v>
      </c>
      <c r="J111" s="162">
        <f t="shared" si="9"/>
        <v>0</v>
      </c>
      <c r="K111" s="162"/>
      <c r="L111" s="335"/>
      <c r="M111" s="162">
        <f t="shared" si="12"/>
        <v>0</v>
      </c>
      <c r="N111" s="335"/>
      <c r="O111" s="162">
        <f t="shared" si="13"/>
        <v>0</v>
      </c>
      <c r="P111" s="162">
        <f t="shared" si="14"/>
        <v>0</v>
      </c>
    </row>
    <row r="112" spans="1:16">
      <c r="B112" s="9" t="str">
        <f t="shared" si="15"/>
        <v/>
      </c>
      <c r="C112" s="157">
        <f>IF(D93="","-",+C111+1)</f>
        <v>2030</v>
      </c>
      <c r="D112" s="158">
        <f>IF(F111+SUM(E$99:E111)=D$92,F111,D$92-SUM(E$99:E111))</f>
        <v>943479</v>
      </c>
      <c r="E112" s="164">
        <f t="shared" si="16"/>
        <v>31139</v>
      </c>
      <c r="F112" s="163">
        <f t="shared" si="17"/>
        <v>912340</v>
      </c>
      <c r="G112" s="163">
        <f t="shared" si="18"/>
        <v>927909.5</v>
      </c>
      <c r="H112" s="333">
        <f t="shared" si="10"/>
        <v>126468.30844658204</v>
      </c>
      <c r="I112" s="344">
        <f t="shared" si="11"/>
        <v>126468.30844658204</v>
      </c>
      <c r="J112" s="162">
        <f t="shared" si="9"/>
        <v>0</v>
      </c>
      <c r="K112" s="162"/>
      <c r="L112" s="335"/>
      <c r="M112" s="162">
        <f t="shared" si="12"/>
        <v>0</v>
      </c>
      <c r="N112" s="335"/>
      <c r="O112" s="162">
        <f t="shared" si="13"/>
        <v>0</v>
      </c>
      <c r="P112" s="162">
        <f t="shared" si="14"/>
        <v>0</v>
      </c>
    </row>
    <row r="113" spans="2:16">
      <c r="B113" s="9" t="str">
        <f t="shared" si="15"/>
        <v/>
      </c>
      <c r="C113" s="157">
        <f>IF(D93="","-",+C112+1)</f>
        <v>2031</v>
      </c>
      <c r="D113" s="158">
        <f>IF(F112+SUM(E$99:E112)=D$92,F112,D$92-SUM(E$99:E112))</f>
        <v>912340</v>
      </c>
      <c r="E113" s="164">
        <f t="shared" si="16"/>
        <v>31139</v>
      </c>
      <c r="F113" s="163">
        <f t="shared" si="17"/>
        <v>881201</v>
      </c>
      <c r="G113" s="163">
        <f t="shared" si="18"/>
        <v>896770.5</v>
      </c>
      <c r="H113" s="333">
        <f t="shared" si="10"/>
        <v>123269.22563115865</v>
      </c>
      <c r="I113" s="344">
        <f t="shared" si="11"/>
        <v>123269.22563115865</v>
      </c>
      <c r="J113" s="162">
        <f t="shared" si="9"/>
        <v>0</v>
      </c>
      <c r="K113" s="162"/>
      <c r="L113" s="335"/>
      <c r="M113" s="162">
        <f t="shared" si="12"/>
        <v>0</v>
      </c>
      <c r="N113" s="335"/>
      <c r="O113" s="162">
        <f t="shared" si="13"/>
        <v>0</v>
      </c>
      <c r="P113" s="162">
        <f t="shared" si="14"/>
        <v>0</v>
      </c>
    </row>
    <row r="114" spans="2:16">
      <c r="B114" s="9" t="str">
        <f t="shared" si="15"/>
        <v/>
      </c>
      <c r="C114" s="157">
        <f>IF(D93="","-",+C113+1)</f>
        <v>2032</v>
      </c>
      <c r="D114" s="158">
        <f>IF(F113+SUM(E$99:E113)=D$92,F113,D$92-SUM(E$99:E113))</f>
        <v>881201</v>
      </c>
      <c r="E114" s="164">
        <f t="shared" si="16"/>
        <v>31139</v>
      </c>
      <c r="F114" s="163">
        <f t="shared" si="17"/>
        <v>850062</v>
      </c>
      <c r="G114" s="163">
        <f t="shared" si="18"/>
        <v>865631.5</v>
      </c>
      <c r="H114" s="333">
        <f t="shared" si="10"/>
        <v>120070.14281573525</v>
      </c>
      <c r="I114" s="344">
        <f t="shared" si="11"/>
        <v>120070.14281573525</v>
      </c>
      <c r="J114" s="162">
        <f t="shared" si="9"/>
        <v>0</v>
      </c>
      <c r="K114" s="162"/>
      <c r="L114" s="335"/>
      <c r="M114" s="162">
        <f t="shared" si="12"/>
        <v>0</v>
      </c>
      <c r="N114" s="335"/>
      <c r="O114" s="162">
        <f t="shared" si="13"/>
        <v>0</v>
      </c>
      <c r="P114" s="162">
        <f t="shared" si="14"/>
        <v>0</v>
      </c>
    </row>
    <row r="115" spans="2:16">
      <c r="B115" s="9" t="str">
        <f t="shared" si="15"/>
        <v/>
      </c>
      <c r="C115" s="157">
        <f>IF(D93="","-",+C114+1)</f>
        <v>2033</v>
      </c>
      <c r="D115" s="158">
        <f>IF(F114+SUM(E$99:E114)=D$92,F114,D$92-SUM(E$99:E114))</f>
        <v>850062</v>
      </c>
      <c r="E115" s="164">
        <f t="shared" si="16"/>
        <v>31139</v>
      </c>
      <c r="F115" s="163">
        <f t="shared" si="17"/>
        <v>818923</v>
      </c>
      <c r="G115" s="163">
        <f t="shared" si="18"/>
        <v>834492.5</v>
      </c>
      <c r="H115" s="333">
        <f t="shared" si="10"/>
        <v>116871.06000031185</v>
      </c>
      <c r="I115" s="344">
        <f t="shared" si="11"/>
        <v>116871.06000031185</v>
      </c>
      <c r="J115" s="162">
        <f t="shared" si="9"/>
        <v>0</v>
      </c>
      <c r="K115" s="162"/>
      <c r="L115" s="335"/>
      <c r="M115" s="162">
        <f t="shared" si="12"/>
        <v>0</v>
      </c>
      <c r="N115" s="335"/>
      <c r="O115" s="162">
        <f t="shared" si="13"/>
        <v>0</v>
      </c>
      <c r="P115" s="162">
        <f t="shared" si="14"/>
        <v>0</v>
      </c>
    </row>
    <row r="116" spans="2:16">
      <c r="B116" s="9" t="str">
        <f t="shared" si="15"/>
        <v/>
      </c>
      <c r="C116" s="157">
        <f>IF(D93="","-",+C115+1)</f>
        <v>2034</v>
      </c>
      <c r="D116" s="158">
        <f>IF(F115+SUM(E$99:E115)=D$92,F115,D$92-SUM(E$99:E115))</f>
        <v>818923</v>
      </c>
      <c r="E116" s="164">
        <f t="shared" si="16"/>
        <v>31139</v>
      </c>
      <c r="F116" s="163">
        <f t="shared" si="17"/>
        <v>787784</v>
      </c>
      <c r="G116" s="163">
        <f t="shared" si="18"/>
        <v>803353.5</v>
      </c>
      <c r="H116" s="333">
        <f t="shared" si="10"/>
        <v>113671.97718488846</v>
      </c>
      <c r="I116" s="344">
        <f t="shared" si="11"/>
        <v>113671.97718488846</v>
      </c>
      <c r="J116" s="162">
        <f t="shared" si="9"/>
        <v>0</v>
      </c>
      <c r="K116" s="162"/>
      <c r="L116" s="335"/>
      <c r="M116" s="162">
        <f t="shared" si="12"/>
        <v>0</v>
      </c>
      <c r="N116" s="335"/>
      <c r="O116" s="162">
        <f t="shared" si="13"/>
        <v>0</v>
      </c>
      <c r="P116" s="162">
        <f t="shared" si="14"/>
        <v>0</v>
      </c>
    </row>
    <row r="117" spans="2:16">
      <c r="B117" s="9" t="str">
        <f t="shared" si="15"/>
        <v/>
      </c>
      <c r="C117" s="157">
        <f>IF(D93="","-",+C116+1)</f>
        <v>2035</v>
      </c>
      <c r="D117" s="158">
        <f>IF(F116+SUM(E$99:E116)=D$92,F116,D$92-SUM(E$99:E116))</f>
        <v>787784</v>
      </c>
      <c r="E117" s="164">
        <f t="shared" si="16"/>
        <v>31139</v>
      </c>
      <c r="F117" s="163">
        <f t="shared" si="17"/>
        <v>756645</v>
      </c>
      <c r="G117" s="163">
        <f t="shared" si="18"/>
        <v>772214.5</v>
      </c>
      <c r="H117" s="333">
        <f t="shared" si="10"/>
        <v>110472.89436946505</v>
      </c>
      <c r="I117" s="344">
        <f t="shared" si="11"/>
        <v>110472.89436946505</v>
      </c>
      <c r="J117" s="162">
        <f t="shared" si="9"/>
        <v>0</v>
      </c>
      <c r="K117" s="162"/>
      <c r="L117" s="335"/>
      <c r="M117" s="162">
        <f t="shared" si="12"/>
        <v>0</v>
      </c>
      <c r="N117" s="335"/>
      <c r="O117" s="162">
        <f t="shared" si="13"/>
        <v>0</v>
      </c>
      <c r="P117" s="162">
        <f t="shared" si="14"/>
        <v>0</v>
      </c>
    </row>
    <row r="118" spans="2:16">
      <c r="B118" s="9" t="str">
        <f t="shared" si="15"/>
        <v/>
      </c>
      <c r="C118" s="157">
        <f>IF(D93="","-",+C117+1)</f>
        <v>2036</v>
      </c>
      <c r="D118" s="158">
        <f>IF(F117+SUM(E$99:E117)=D$92,F117,D$92-SUM(E$99:E117))</f>
        <v>756645</v>
      </c>
      <c r="E118" s="164">
        <f t="shared" si="16"/>
        <v>31139</v>
      </c>
      <c r="F118" s="163">
        <f t="shared" si="17"/>
        <v>725506</v>
      </c>
      <c r="G118" s="163">
        <f t="shared" si="18"/>
        <v>741075.5</v>
      </c>
      <c r="H118" s="333">
        <f t="shared" si="10"/>
        <v>107273.81155404165</v>
      </c>
      <c r="I118" s="344">
        <f t="shared" si="11"/>
        <v>107273.81155404165</v>
      </c>
      <c r="J118" s="162">
        <f t="shared" si="9"/>
        <v>0</v>
      </c>
      <c r="K118" s="162"/>
      <c r="L118" s="335"/>
      <c r="M118" s="162">
        <f t="shared" si="12"/>
        <v>0</v>
      </c>
      <c r="N118" s="335"/>
      <c r="O118" s="162">
        <f t="shared" si="13"/>
        <v>0</v>
      </c>
      <c r="P118" s="162">
        <f t="shared" si="14"/>
        <v>0</v>
      </c>
    </row>
    <row r="119" spans="2:16">
      <c r="B119" s="9" t="str">
        <f t="shared" si="15"/>
        <v/>
      </c>
      <c r="C119" s="157">
        <f>IF(D93="","-",+C118+1)</f>
        <v>2037</v>
      </c>
      <c r="D119" s="158">
        <f>IF(F118+SUM(E$99:E118)=D$92,F118,D$92-SUM(E$99:E118))</f>
        <v>725506</v>
      </c>
      <c r="E119" s="164">
        <f t="shared" si="16"/>
        <v>31139</v>
      </c>
      <c r="F119" s="163">
        <f t="shared" si="17"/>
        <v>694367</v>
      </c>
      <c r="G119" s="163">
        <f t="shared" si="18"/>
        <v>709936.5</v>
      </c>
      <c r="H119" s="333">
        <f t="shared" si="10"/>
        <v>104074.72873861826</v>
      </c>
      <c r="I119" s="344">
        <f t="shared" si="11"/>
        <v>104074.72873861826</v>
      </c>
      <c r="J119" s="162">
        <f t="shared" si="9"/>
        <v>0</v>
      </c>
      <c r="K119" s="162"/>
      <c r="L119" s="335"/>
      <c r="M119" s="162">
        <f t="shared" si="12"/>
        <v>0</v>
      </c>
      <c r="N119" s="335"/>
      <c r="O119" s="162">
        <f t="shared" si="13"/>
        <v>0</v>
      </c>
      <c r="P119" s="162">
        <f t="shared" si="14"/>
        <v>0</v>
      </c>
    </row>
    <row r="120" spans="2:16">
      <c r="B120" s="9" t="str">
        <f t="shared" si="15"/>
        <v/>
      </c>
      <c r="C120" s="157">
        <f>IF(D93="","-",+C119+1)</f>
        <v>2038</v>
      </c>
      <c r="D120" s="158">
        <f>IF(F119+SUM(E$99:E119)=D$92,F119,D$92-SUM(E$99:E119))</f>
        <v>694367</v>
      </c>
      <c r="E120" s="164">
        <f t="shared" si="16"/>
        <v>31139</v>
      </c>
      <c r="F120" s="163">
        <f t="shared" si="17"/>
        <v>663228</v>
      </c>
      <c r="G120" s="163">
        <f t="shared" si="18"/>
        <v>678797.5</v>
      </c>
      <c r="H120" s="333">
        <f t="shared" si="10"/>
        <v>100875.64592319485</v>
      </c>
      <c r="I120" s="344">
        <f t="shared" si="11"/>
        <v>100875.64592319485</v>
      </c>
      <c r="J120" s="162">
        <f t="shared" si="9"/>
        <v>0</v>
      </c>
      <c r="K120" s="162"/>
      <c r="L120" s="335"/>
      <c r="M120" s="162">
        <f t="shared" si="12"/>
        <v>0</v>
      </c>
      <c r="N120" s="335"/>
      <c r="O120" s="162">
        <f t="shared" si="13"/>
        <v>0</v>
      </c>
      <c r="P120" s="162">
        <f t="shared" si="14"/>
        <v>0</v>
      </c>
    </row>
    <row r="121" spans="2:16">
      <c r="B121" s="9" t="str">
        <f t="shared" si="15"/>
        <v/>
      </c>
      <c r="C121" s="157">
        <f>IF(D93="","-",+C120+1)</f>
        <v>2039</v>
      </c>
      <c r="D121" s="158">
        <f>IF(F120+SUM(E$99:E120)=D$92,F120,D$92-SUM(E$99:E120))</f>
        <v>663228</v>
      </c>
      <c r="E121" s="164">
        <f t="shared" si="16"/>
        <v>31139</v>
      </c>
      <c r="F121" s="163">
        <f t="shared" si="17"/>
        <v>632089</v>
      </c>
      <c r="G121" s="163">
        <f t="shared" si="18"/>
        <v>647658.5</v>
      </c>
      <c r="H121" s="333">
        <f t="shared" si="10"/>
        <v>97676.563107771464</v>
      </c>
      <c r="I121" s="344">
        <f t="shared" si="11"/>
        <v>97676.563107771464</v>
      </c>
      <c r="J121" s="162">
        <f t="shared" si="9"/>
        <v>0</v>
      </c>
      <c r="K121" s="162"/>
      <c r="L121" s="335"/>
      <c r="M121" s="162">
        <f t="shared" si="12"/>
        <v>0</v>
      </c>
      <c r="N121" s="335"/>
      <c r="O121" s="162">
        <f t="shared" si="13"/>
        <v>0</v>
      </c>
      <c r="P121" s="162">
        <f t="shared" si="14"/>
        <v>0</v>
      </c>
    </row>
    <row r="122" spans="2:16">
      <c r="B122" s="9" t="str">
        <f t="shared" si="15"/>
        <v/>
      </c>
      <c r="C122" s="157">
        <f>IF(D93="","-",+C121+1)</f>
        <v>2040</v>
      </c>
      <c r="D122" s="158">
        <f>IF(F121+SUM(E$99:E121)=D$92,F121,D$92-SUM(E$99:E121))</f>
        <v>632089</v>
      </c>
      <c r="E122" s="164">
        <f t="shared" si="16"/>
        <v>31139</v>
      </c>
      <c r="F122" s="163">
        <f t="shared" si="17"/>
        <v>600950</v>
      </c>
      <c r="G122" s="163">
        <f t="shared" si="18"/>
        <v>616519.5</v>
      </c>
      <c r="H122" s="333">
        <f t="shared" si="10"/>
        <v>94477.48029234806</v>
      </c>
      <c r="I122" s="344">
        <f t="shared" si="11"/>
        <v>94477.48029234806</v>
      </c>
      <c r="J122" s="162">
        <f t="shared" si="9"/>
        <v>0</v>
      </c>
      <c r="K122" s="162"/>
      <c r="L122" s="335"/>
      <c r="M122" s="162">
        <f t="shared" si="12"/>
        <v>0</v>
      </c>
      <c r="N122" s="335"/>
      <c r="O122" s="162">
        <f t="shared" si="13"/>
        <v>0</v>
      </c>
      <c r="P122" s="162">
        <f t="shared" si="14"/>
        <v>0</v>
      </c>
    </row>
    <row r="123" spans="2:16">
      <c r="B123" s="9" t="str">
        <f t="shared" si="15"/>
        <v/>
      </c>
      <c r="C123" s="157">
        <f>IF(D93="","-",+C122+1)</f>
        <v>2041</v>
      </c>
      <c r="D123" s="158">
        <f>IF(F122+SUM(E$99:E122)=D$92,F122,D$92-SUM(E$99:E122))</f>
        <v>600950</v>
      </c>
      <c r="E123" s="164">
        <f t="shared" si="16"/>
        <v>31139</v>
      </c>
      <c r="F123" s="163">
        <f t="shared" si="17"/>
        <v>569811</v>
      </c>
      <c r="G123" s="163">
        <f t="shared" si="18"/>
        <v>585380.5</v>
      </c>
      <c r="H123" s="333">
        <f t="shared" si="10"/>
        <v>91278.397476924671</v>
      </c>
      <c r="I123" s="344">
        <f t="shared" si="11"/>
        <v>91278.397476924671</v>
      </c>
      <c r="J123" s="162">
        <f t="shared" si="9"/>
        <v>0</v>
      </c>
      <c r="K123" s="162"/>
      <c r="L123" s="335"/>
      <c r="M123" s="162">
        <f t="shared" si="12"/>
        <v>0</v>
      </c>
      <c r="N123" s="335"/>
      <c r="O123" s="162">
        <f t="shared" si="13"/>
        <v>0</v>
      </c>
      <c r="P123" s="162">
        <f t="shared" si="14"/>
        <v>0</v>
      </c>
    </row>
    <row r="124" spans="2:16">
      <c r="B124" s="9" t="str">
        <f t="shared" si="15"/>
        <v/>
      </c>
      <c r="C124" s="157">
        <f>IF(D93="","-",+C123+1)</f>
        <v>2042</v>
      </c>
      <c r="D124" s="158">
        <f>IF(F123+SUM(E$99:E123)=D$92,F123,D$92-SUM(E$99:E123))</f>
        <v>569811</v>
      </c>
      <c r="E124" s="164">
        <f t="shared" si="16"/>
        <v>31139</v>
      </c>
      <c r="F124" s="163">
        <f t="shared" si="17"/>
        <v>538672</v>
      </c>
      <c r="G124" s="163">
        <f t="shared" si="18"/>
        <v>554241.5</v>
      </c>
      <c r="H124" s="333">
        <f t="shared" si="10"/>
        <v>88079.314661501267</v>
      </c>
      <c r="I124" s="344">
        <f t="shared" si="11"/>
        <v>88079.314661501267</v>
      </c>
      <c r="J124" s="162">
        <f t="shared" si="9"/>
        <v>0</v>
      </c>
      <c r="K124" s="162"/>
      <c r="L124" s="335"/>
      <c r="M124" s="162">
        <f t="shared" si="12"/>
        <v>0</v>
      </c>
      <c r="N124" s="335"/>
      <c r="O124" s="162">
        <f t="shared" si="13"/>
        <v>0</v>
      </c>
      <c r="P124" s="162">
        <f t="shared" si="14"/>
        <v>0</v>
      </c>
    </row>
    <row r="125" spans="2:16">
      <c r="B125" s="9" t="str">
        <f t="shared" si="15"/>
        <v/>
      </c>
      <c r="C125" s="157">
        <f>IF(D93="","-",+C124+1)</f>
        <v>2043</v>
      </c>
      <c r="D125" s="158">
        <f>IF(F124+SUM(E$99:E124)=D$92,F124,D$92-SUM(E$99:E124))</f>
        <v>538672</v>
      </c>
      <c r="E125" s="164">
        <f t="shared" si="16"/>
        <v>31139</v>
      </c>
      <c r="F125" s="163">
        <f t="shared" si="17"/>
        <v>507533</v>
      </c>
      <c r="G125" s="163">
        <f t="shared" si="18"/>
        <v>523102.5</v>
      </c>
      <c r="H125" s="333">
        <f t="shared" si="10"/>
        <v>84880.231846077862</v>
      </c>
      <c r="I125" s="344">
        <f t="shared" si="11"/>
        <v>84880.231846077862</v>
      </c>
      <c r="J125" s="162">
        <f t="shared" si="9"/>
        <v>0</v>
      </c>
      <c r="K125" s="162"/>
      <c r="L125" s="335"/>
      <c r="M125" s="162">
        <f t="shared" si="12"/>
        <v>0</v>
      </c>
      <c r="N125" s="335"/>
      <c r="O125" s="162">
        <f t="shared" si="13"/>
        <v>0</v>
      </c>
      <c r="P125" s="162">
        <f t="shared" si="14"/>
        <v>0</v>
      </c>
    </row>
    <row r="126" spans="2:16">
      <c r="B126" s="9" t="str">
        <f t="shared" si="15"/>
        <v/>
      </c>
      <c r="C126" s="157">
        <f>IF(D93="","-",+C125+1)</f>
        <v>2044</v>
      </c>
      <c r="D126" s="158">
        <f>IF(F125+SUM(E$99:E125)=D$92,F125,D$92-SUM(E$99:E125))</f>
        <v>507533</v>
      </c>
      <c r="E126" s="164">
        <f t="shared" si="16"/>
        <v>31139</v>
      </c>
      <c r="F126" s="163">
        <f t="shared" si="17"/>
        <v>476394</v>
      </c>
      <c r="G126" s="163">
        <f t="shared" si="18"/>
        <v>491963.5</v>
      </c>
      <c r="H126" s="333">
        <f t="shared" si="10"/>
        <v>81681.149030654458</v>
      </c>
      <c r="I126" s="344">
        <f t="shared" si="11"/>
        <v>81681.149030654458</v>
      </c>
      <c r="J126" s="162">
        <f t="shared" si="9"/>
        <v>0</v>
      </c>
      <c r="K126" s="162"/>
      <c r="L126" s="335"/>
      <c r="M126" s="162">
        <f t="shared" si="12"/>
        <v>0</v>
      </c>
      <c r="N126" s="335"/>
      <c r="O126" s="162">
        <f t="shared" si="13"/>
        <v>0</v>
      </c>
      <c r="P126" s="162">
        <f t="shared" si="14"/>
        <v>0</v>
      </c>
    </row>
    <row r="127" spans="2:16">
      <c r="B127" s="9" t="str">
        <f t="shared" si="15"/>
        <v/>
      </c>
      <c r="C127" s="157">
        <f>IF(D93="","-",+C126+1)</f>
        <v>2045</v>
      </c>
      <c r="D127" s="158">
        <f>IF(F126+SUM(E$99:E126)=D$92,F126,D$92-SUM(E$99:E126))</f>
        <v>476394</v>
      </c>
      <c r="E127" s="164">
        <f t="shared" si="16"/>
        <v>31139</v>
      </c>
      <c r="F127" s="163">
        <f t="shared" si="17"/>
        <v>445255</v>
      </c>
      <c r="G127" s="163">
        <f t="shared" si="18"/>
        <v>460824.5</v>
      </c>
      <c r="H127" s="333">
        <f t="shared" si="10"/>
        <v>78482.066215231054</v>
      </c>
      <c r="I127" s="344">
        <f t="shared" si="11"/>
        <v>78482.066215231054</v>
      </c>
      <c r="J127" s="162">
        <f t="shared" si="9"/>
        <v>0</v>
      </c>
      <c r="K127" s="162"/>
      <c r="L127" s="335"/>
      <c r="M127" s="162">
        <f t="shared" si="12"/>
        <v>0</v>
      </c>
      <c r="N127" s="335"/>
      <c r="O127" s="162">
        <f t="shared" si="13"/>
        <v>0</v>
      </c>
      <c r="P127" s="162">
        <f t="shared" si="14"/>
        <v>0</v>
      </c>
    </row>
    <row r="128" spans="2:16">
      <c r="B128" s="9" t="str">
        <f t="shared" si="15"/>
        <v/>
      </c>
      <c r="C128" s="157">
        <f>IF(D93="","-",+C127+1)</f>
        <v>2046</v>
      </c>
      <c r="D128" s="158">
        <f>IF(F127+SUM(E$99:E127)=D$92,F127,D$92-SUM(E$99:E127))</f>
        <v>445255</v>
      </c>
      <c r="E128" s="164">
        <f t="shared" si="16"/>
        <v>31139</v>
      </c>
      <c r="F128" s="163">
        <f t="shared" si="17"/>
        <v>414116</v>
      </c>
      <c r="G128" s="163">
        <f t="shared" si="18"/>
        <v>429685.5</v>
      </c>
      <c r="H128" s="333">
        <f t="shared" si="10"/>
        <v>75282.983399807665</v>
      </c>
      <c r="I128" s="344">
        <f t="shared" si="11"/>
        <v>75282.983399807665</v>
      </c>
      <c r="J128" s="162">
        <f t="shared" si="9"/>
        <v>0</v>
      </c>
      <c r="K128" s="162"/>
      <c r="L128" s="335"/>
      <c r="M128" s="162">
        <f t="shared" si="12"/>
        <v>0</v>
      </c>
      <c r="N128" s="335"/>
      <c r="O128" s="162">
        <f t="shared" si="13"/>
        <v>0</v>
      </c>
      <c r="P128" s="162">
        <f t="shared" si="14"/>
        <v>0</v>
      </c>
    </row>
    <row r="129" spans="2:16">
      <c r="B129" s="9" t="str">
        <f t="shared" si="15"/>
        <v/>
      </c>
      <c r="C129" s="157">
        <f>IF(D93="","-",+C128+1)</f>
        <v>2047</v>
      </c>
      <c r="D129" s="158">
        <f>IF(F128+SUM(E$99:E128)=D$92,F128,D$92-SUM(E$99:E128))</f>
        <v>414116</v>
      </c>
      <c r="E129" s="164">
        <f t="shared" si="16"/>
        <v>31139</v>
      </c>
      <c r="F129" s="163">
        <f t="shared" si="17"/>
        <v>382977</v>
      </c>
      <c r="G129" s="163">
        <f t="shared" si="18"/>
        <v>398546.5</v>
      </c>
      <c r="H129" s="333">
        <f t="shared" si="10"/>
        <v>72083.900584384275</v>
      </c>
      <c r="I129" s="344">
        <f t="shared" si="11"/>
        <v>72083.900584384275</v>
      </c>
      <c r="J129" s="162">
        <f t="shared" si="9"/>
        <v>0</v>
      </c>
      <c r="K129" s="162"/>
      <c r="L129" s="335"/>
      <c r="M129" s="162">
        <f t="shared" si="12"/>
        <v>0</v>
      </c>
      <c r="N129" s="335"/>
      <c r="O129" s="162">
        <f t="shared" si="13"/>
        <v>0</v>
      </c>
      <c r="P129" s="162">
        <f t="shared" si="14"/>
        <v>0</v>
      </c>
    </row>
    <row r="130" spans="2:16">
      <c r="B130" s="9" t="str">
        <f t="shared" si="15"/>
        <v/>
      </c>
      <c r="C130" s="157">
        <f>IF(D93="","-",+C129+1)</f>
        <v>2048</v>
      </c>
      <c r="D130" s="158">
        <f>IF(F129+SUM(E$99:E129)=D$92,F129,D$92-SUM(E$99:E129))</f>
        <v>382977</v>
      </c>
      <c r="E130" s="164">
        <f t="shared" si="16"/>
        <v>31139</v>
      </c>
      <c r="F130" s="163">
        <f t="shared" si="17"/>
        <v>351838</v>
      </c>
      <c r="G130" s="163">
        <f t="shared" si="18"/>
        <v>367407.5</v>
      </c>
      <c r="H130" s="333">
        <f t="shared" si="10"/>
        <v>68884.817768960871</v>
      </c>
      <c r="I130" s="344">
        <f t="shared" si="11"/>
        <v>68884.817768960871</v>
      </c>
      <c r="J130" s="162">
        <f t="shared" si="9"/>
        <v>0</v>
      </c>
      <c r="K130" s="162"/>
      <c r="L130" s="335"/>
      <c r="M130" s="162">
        <f t="shared" si="12"/>
        <v>0</v>
      </c>
      <c r="N130" s="335"/>
      <c r="O130" s="162">
        <f t="shared" si="13"/>
        <v>0</v>
      </c>
      <c r="P130" s="162">
        <f t="shared" si="14"/>
        <v>0</v>
      </c>
    </row>
    <row r="131" spans="2:16">
      <c r="B131" s="9" t="str">
        <f t="shared" si="15"/>
        <v/>
      </c>
      <c r="C131" s="157">
        <f>IF(D93="","-",+C130+1)</f>
        <v>2049</v>
      </c>
      <c r="D131" s="158">
        <f>IF(F130+SUM(E$99:E130)=D$92,F130,D$92-SUM(E$99:E130))</f>
        <v>351838</v>
      </c>
      <c r="E131" s="164">
        <f t="shared" si="16"/>
        <v>31139</v>
      </c>
      <c r="F131" s="163">
        <f t="shared" si="17"/>
        <v>320699</v>
      </c>
      <c r="G131" s="163">
        <f t="shared" si="18"/>
        <v>336268.5</v>
      </c>
      <c r="H131" s="333">
        <f t="shared" si="10"/>
        <v>65685.734953537467</v>
      </c>
      <c r="I131" s="344">
        <f t="shared" si="11"/>
        <v>65685.734953537467</v>
      </c>
      <c r="J131" s="162">
        <f t="shared" ref="J131:J154" si="19">+I541-H541</f>
        <v>0</v>
      </c>
      <c r="K131" s="162"/>
      <c r="L131" s="335"/>
      <c r="M131" s="162">
        <f t="shared" ref="M131:M154" si="20">IF(L541&lt;&gt;0,+H541-L541,0)</f>
        <v>0</v>
      </c>
      <c r="N131" s="335"/>
      <c r="O131" s="162">
        <f t="shared" ref="O131:O154" si="21">IF(N541&lt;&gt;0,+I541-N541,0)</f>
        <v>0</v>
      </c>
      <c r="P131" s="162">
        <f t="shared" ref="P131:P154" si="22">+O541-M541</f>
        <v>0</v>
      </c>
    </row>
    <row r="132" spans="2:16">
      <c r="B132" s="9" t="str">
        <f t="shared" si="15"/>
        <v/>
      </c>
      <c r="C132" s="157">
        <f>IF(D93="","-",+C131+1)</f>
        <v>2050</v>
      </c>
      <c r="D132" s="158">
        <f>IF(F131+SUM(E$99:E131)=D$92,F131,D$92-SUM(E$99:E131))</f>
        <v>320699</v>
      </c>
      <c r="E132" s="164">
        <f t="shared" si="16"/>
        <v>31139</v>
      </c>
      <c r="F132" s="163">
        <f t="shared" si="17"/>
        <v>289560</v>
      </c>
      <c r="G132" s="163">
        <f t="shared" si="18"/>
        <v>305129.5</v>
      </c>
      <c r="H132" s="333">
        <f t="shared" si="10"/>
        <v>62486.65213811407</v>
      </c>
      <c r="I132" s="344">
        <f t="shared" si="11"/>
        <v>62486.65213811407</v>
      </c>
      <c r="J132" s="162">
        <f t="shared" si="19"/>
        <v>0</v>
      </c>
      <c r="K132" s="162"/>
      <c r="L132" s="335"/>
      <c r="M132" s="162">
        <f t="shared" si="20"/>
        <v>0</v>
      </c>
      <c r="N132" s="335"/>
      <c r="O132" s="162">
        <f t="shared" si="21"/>
        <v>0</v>
      </c>
      <c r="P132" s="162">
        <f t="shared" si="22"/>
        <v>0</v>
      </c>
    </row>
    <row r="133" spans="2:16">
      <c r="B133" s="9" t="str">
        <f t="shared" si="15"/>
        <v/>
      </c>
      <c r="C133" s="157">
        <f>IF(D93="","-",+C132+1)</f>
        <v>2051</v>
      </c>
      <c r="D133" s="158">
        <f>IF(F132+SUM(E$99:E132)=D$92,F132,D$92-SUM(E$99:E132))</f>
        <v>289560</v>
      </c>
      <c r="E133" s="164">
        <f t="shared" si="16"/>
        <v>31139</v>
      </c>
      <c r="F133" s="163">
        <f t="shared" si="17"/>
        <v>258421</v>
      </c>
      <c r="G133" s="163">
        <f t="shared" si="18"/>
        <v>273990.5</v>
      </c>
      <c r="H133" s="333">
        <f t="shared" si="10"/>
        <v>59287.569322690673</v>
      </c>
      <c r="I133" s="344">
        <f t="shared" si="11"/>
        <v>59287.569322690673</v>
      </c>
      <c r="J133" s="162">
        <f t="shared" si="19"/>
        <v>0</v>
      </c>
      <c r="K133" s="162"/>
      <c r="L133" s="335"/>
      <c r="M133" s="162">
        <f t="shared" si="20"/>
        <v>0</v>
      </c>
      <c r="N133" s="335"/>
      <c r="O133" s="162">
        <f t="shared" si="21"/>
        <v>0</v>
      </c>
      <c r="P133" s="162">
        <f t="shared" si="22"/>
        <v>0</v>
      </c>
    </row>
    <row r="134" spans="2:16">
      <c r="B134" s="9" t="str">
        <f t="shared" si="15"/>
        <v/>
      </c>
      <c r="C134" s="157">
        <f>IF(D93="","-",+C133+1)</f>
        <v>2052</v>
      </c>
      <c r="D134" s="158">
        <f>IF(F133+SUM(E$99:E133)=D$92,F133,D$92-SUM(E$99:E133))</f>
        <v>258421</v>
      </c>
      <c r="E134" s="164">
        <f t="shared" si="16"/>
        <v>31139</v>
      </c>
      <c r="F134" s="163">
        <f t="shared" si="17"/>
        <v>227282</v>
      </c>
      <c r="G134" s="163">
        <f t="shared" si="18"/>
        <v>242851.5</v>
      </c>
      <c r="H134" s="333">
        <f t="shared" si="10"/>
        <v>56088.486507267269</v>
      </c>
      <c r="I134" s="344">
        <f t="shared" si="11"/>
        <v>56088.486507267269</v>
      </c>
      <c r="J134" s="162">
        <f t="shared" si="19"/>
        <v>0</v>
      </c>
      <c r="K134" s="162"/>
      <c r="L134" s="335"/>
      <c r="M134" s="162">
        <f t="shared" si="20"/>
        <v>0</v>
      </c>
      <c r="N134" s="335"/>
      <c r="O134" s="162">
        <f t="shared" si="21"/>
        <v>0</v>
      </c>
      <c r="P134" s="162">
        <f t="shared" si="22"/>
        <v>0</v>
      </c>
    </row>
    <row r="135" spans="2:16">
      <c r="B135" s="9" t="str">
        <f t="shared" si="15"/>
        <v/>
      </c>
      <c r="C135" s="157">
        <f>IF(D93="","-",+C134+1)</f>
        <v>2053</v>
      </c>
      <c r="D135" s="158">
        <f>IF(F134+SUM(E$99:E134)=D$92,F134,D$92-SUM(E$99:E134))</f>
        <v>227282</v>
      </c>
      <c r="E135" s="164">
        <f t="shared" si="16"/>
        <v>31139</v>
      </c>
      <c r="F135" s="163">
        <f t="shared" si="17"/>
        <v>196143</v>
      </c>
      <c r="G135" s="163">
        <f t="shared" si="18"/>
        <v>211712.5</v>
      </c>
      <c r="H135" s="333">
        <f t="shared" si="10"/>
        <v>52889.403691843872</v>
      </c>
      <c r="I135" s="344">
        <f t="shared" si="11"/>
        <v>52889.403691843872</v>
      </c>
      <c r="J135" s="162">
        <f t="shared" si="19"/>
        <v>0</v>
      </c>
      <c r="K135" s="162"/>
      <c r="L135" s="335"/>
      <c r="M135" s="162">
        <f t="shared" si="20"/>
        <v>0</v>
      </c>
      <c r="N135" s="335"/>
      <c r="O135" s="162">
        <f t="shared" si="21"/>
        <v>0</v>
      </c>
      <c r="P135" s="162">
        <f t="shared" si="22"/>
        <v>0</v>
      </c>
    </row>
    <row r="136" spans="2:16">
      <c r="B136" s="9" t="str">
        <f t="shared" si="15"/>
        <v/>
      </c>
      <c r="C136" s="157">
        <f>IF(D93="","-",+C135+1)</f>
        <v>2054</v>
      </c>
      <c r="D136" s="158">
        <f>IF(F135+SUM(E$99:E135)=D$92,F135,D$92-SUM(E$99:E135))</f>
        <v>196143</v>
      </c>
      <c r="E136" s="164">
        <f t="shared" si="16"/>
        <v>31139</v>
      </c>
      <c r="F136" s="163">
        <f t="shared" si="17"/>
        <v>165004</v>
      </c>
      <c r="G136" s="163">
        <f t="shared" si="18"/>
        <v>180573.5</v>
      </c>
      <c r="H136" s="333">
        <f t="shared" si="10"/>
        <v>49690.320876420476</v>
      </c>
      <c r="I136" s="344">
        <f t="shared" si="11"/>
        <v>49690.320876420476</v>
      </c>
      <c r="J136" s="162">
        <f t="shared" si="19"/>
        <v>0</v>
      </c>
      <c r="K136" s="162"/>
      <c r="L136" s="335"/>
      <c r="M136" s="162">
        <f t="shared" si="20"/>
        <v>0</v>
      </c>
      <c r="N136" s="335"/>
      <c r="O136" s="162">
        <f t="shared" si="21"/>
        <v>0</v>
      </c>
      <c r="P136" s="162">
        <f t="shared" si="22"/>
        <v>0</v>
      </c>
    </row>
    <row r="137" spans="2:16">
      <c r="B137" s="9" t="str">
        <f t="shared" si="15"/>
        <v/>
      </c>
      <c r="C137" s="157">
        <f>IF(D93="","-",+C136+1)</f>
        <v>2055</v>
      </c>
      <c r="D137" s="158">
        <f>IF(F136+SUM(E$99:E136)=D$92,F136,D$92-SUM(E$99:E136))</f>
        <v>165004</v>
      </c>
      <c r="E137" s="164">
        <f t="shared" si="16"/>
        <v>31139</v>
      </c>
      <c r="F137" s="163">
        <f t="shared" si="17"/>
        <v>133865</v>
      </c>
      <c r="G137" s="163">
        <f t="shared" si="18"/>
        <v>149434.5</v>
      </c>
      <c r="H137" s="333">
        <f t="shared" si="10"/>
        <v>46491.238060997071</v>
      </c>
      <c r="I137" s="344">
        <f t="shared" si="11"/>
        <v>46491.238060997071</v>
      </c>
      <c r="J137" s="162">
        <f t="shared" si="19"/>
        <v>0</v>
      </c>
      <c r="K137" s="162"/>
      <c r="L137" s="335"/>
      <c r="M137" s="162">
        <f t="shared" si="20"/>
        <v>0</v>
      </c>
      <c r="N137" s="335"/>
      <c r="O137" s="162">
        <f t="shared" si="21"/>
        <v>0</v>
      </c>
      <c r="P137" s="162">
        <f t="shared" si="22"/>
        <v>0</v>
      </c>
    </row>
    <row r="138" spans="2:16">
      <c r="B138" s="9" t="str">
        <f t="shared" si="15"/>
        <v/>
      </c>
      <c r="C138" s="157">
        <f>IF(D93="","-",+C137+1)</f>
        <v>2056</v>
      </c>
      <c r="D138" s="158">
        <f>IF(F137+SUM(E$99:E137)=D$92,F137,D$92-SUM(E$99:E137))</f>
        <v>133865</v>
      </c>
      <c r="E138" s="164">
        <f t="shared" si="16"/>
        <v>31139</v>
      </c>
      <c r="F138" s="163">
        <f t="shared" si="17"/>
        <v>102726</v>
      </c>
      <c r="G138" s="163">
        <f t="shared" si="18"/>
        <v>118295.5</v>
      </c>
      <c r="H138" s="333">
        <f t="shared" si="10"/>
        <v>43292.155245573675</v>
      </c>
      <c r="I138" s="344">
        <f t="shared" si="11"/>
        <v>43292.155245573675</v>
      </c>
      <c r="J138" s="162">
        <f t="shared" si="19"/>
        <v>0</v>
      </c>
      <c r="K138" s="162"/>
      <c r="L138" s="335"/>
      <c r="M138" s="162">
        <f t="shared" si="20"/>
        <v>0</v>
      </c>
      <c r="N138" s="335"/>
      <c r="O138" s="162">
        <f t="shared" si="21"/>
        <v>0</v>
      </c>
      <c r="P138" s="162">
        <f t="shared" si="22"/>
        <v>0</v>
      </c>
    </row>
    <row r="139" spans="2:16">
      <c r="B139" s="9" t="str">
        <f t="shared" si="15"/>
        <v/>
      </c>
      <c r="C139" s="157">
        <f>IF(D93="","-",+C138+1)</f>
        <v>2057</v>
      </c>
      <c r="D139" s="158">
        <f>IF(F138+SUM(E$99:E138)=D$92,F138,D$92-SUM(E$99:E138))</f>
        <v>102726</v>
      </c>
      <c r="E139" s="164">
        <f t="shared" si="16"/>
        <v>31139</v>
      </c>
      <c r="F139" s="163">
        <f t="shared" si="17"/>
        <v>71587</v>
      </c>
      <c r="G139" s="163">
        <f t="shared" si="18"/>
        <v>87156.5</v>
      </c>
      <c r="H139" s="333">
        <f t="shared" si="10"/>
        <v>40093.072430150278</v>
      </c>
      <c r="I139" s="344">
        <f t="shared" si="11"/>
        <v>40093.072430150278</v>
      </c>
      <c r="J139" s="162">
        <f t="shared" si="19"/>
        <v>0</v>
      </c>
      <c r="K139" s="162"/>
      <c r="L139" s="335"/>
      <c r="M139" s="162">
        <f t="shared" si="20"/>
        <v>0</v>
      </c>
      <c r="N139" s="335"/>
      <c r="O139" s="162">
        <f t="shared" si="21"/>
        <v>0</v>
      </c>
      <c r="P139" s="162">
        <f t="shared" si="22"/>
        <v>0</v>
      </c>
    </row>
    <row r="140" spans="2:16">
      <c r="B140" s="9" t="str">
        <f t="shared" si="15"/>
        <v/>
      </c>
      <c r="C140" s="157">
        <f>IF(D93="","-",+C139+1)</f>
        <v>2058</v>
      </c>
      <c r="D140" s="158">
        <f>IF(F139+SUM(E$99:E139)=D$92,F139,D$92-SUM(E$99:E139))</f>
        <v>71587</v>
      </c>
      <c r="E140" s="164">
        <f t="shared" si="16"/>
        <v>31139</v>
      </c>
      <c r="F140" s="163">
        <f t="shared" si="17"/>
        <v>40448</v>
      </c>
      <c r="G140" s="163">
        <f t="shared" si="18"/>
        <v>56017.5</v>
      </c>
      <c r="H140" s="333">
        <f t="shared" si="10"/>
        <v>36893.989614726881</v>
      </c>
      <c r="I140" s="344">
        <f t="shared" si="11"/>
        <v>36893.989614726881</v>
      </c>
      <c r="J140" s="162">
        <f t="shared" si="19"/>
        <v>0</v>
      </c>
      <c r="K140" s="162"/>
      <c r="L140" s="335"/>
      <c r="M140" s="162">
        <f t="shared" si="20"/>
        <v>0</v>
      </c>
      <c r="N140" s="335"/>
      <c r="O140" s="162">
        <f t="shared" si="21"/>
        <v>0</v>
      </c>
      <c r="P140" s="162">
        <f t="shared" si="22"/>
        <v>0</v>
      </c>
    </row>
    <row r="141" spans="2:16">
      <c r="B141" s="9" t="str">
        <f t="shared" si="15"/>
        <v/>
      </c>
      <c r="C141" s="157">
        <f>IF(D93="","-",+C140+1)</f>
        <v>2059</v>
      </c>
      <c r="D141" s="158">
        <f>IF(F140+SUM(E$99:E140)=D$92,F140,D$92-SUM(E$99:E140))</f>
        <v>40448</v>
      </c>
      <c r="E141" s="164">
        <f t="shared" si="16"/>
        <v>31139</v>
      </c>
      <c r="F141" s="163">
        <f t="shared" si="17"/>
        <v>9309</v>
      </c>
      <c r="G141" s="163">
        <f t="shared" si="18"/>
        <v>24878.5</v>
      </c>
      <c r="H141" s="333">
        <f t="shared" si="10"/>
        <v>33694.906799303477</v>
      </c>
      <c r="I141" s="344">
        <f t="shared" si="11"/>
        <v>33694.906799303477</v>
      </c>
      <c r="J141" s="162">
        <f t="shared" si="19"/>
        <v>0</v>
      </c>
      <c r="K141" s="162"/>
      <c r="L141" s="335"/>
      <c r="M141" s="162">
        <f t="shared" si="20"/>
        <v>0</v>
      </c>
      <c r="N141" s="335"/>
      <c r="O141" s="162">
        <f t="shared" si="21"/>
        <v>0</v>
      </c>
      <c r="P141" s="162">
        <f t="shared" si="22"/>
        <v>0</v>
      </c>
    </row>
    <row r="142" spans="2:16">
      <c r="B142" s="9" t="str">
        <f t="shared" si="15"/>
        <v/>
      </c>
      <c r="C142" s="157">
        <f>IF(D93="","-",+C141+1)</f>
        <v>2060</v>
      </c>
      <c r="D142" s="158">
        <f>IF(F141+SUM(E$99:E141)=D$92,F141,D$92-SUM(E$99:E141))</f>
        <v>9309</v>
      </c>
      <c r="E142" s="164">
        <f t="shared" si="16"/>
        <v>9309</v>
      </c>
      <c r="F142" s="163">
        <f t="shared" si="17"/>
        <v>0</v>
      </c>
      <c r="G142" s="163">
        <f t="shared" si="18"/>
        <v>4654.5</v>
      </c>
      <c r="H142" s="333">
        <f t="shared" si="10"/>
        <v>9787.1826957958892</v>
      </c>
      <c r="I142" s="344">
        <f t="shared" si="11"/>
        <v>9787.1826957958892</v>
      </c>
      <c r="J142" s="162">
        <f t="shared" si="19"/>
        <v>0</v>
      </c>
      <c r="K142" s="162"/>
      <c r="L142" s="335"/>
      <c r="M142" s="162">
        <f t="shared" si="20"/>
        <v>0</v>
      </c>
      <c r="N142" s="335"/>
      <c r="O142" s="162">
        <f t="shared" si="21"/>
        <v>0</v>
      </c>
      <c r="P142" s="162">
        <f t="shared" si="22"/>
        <v>0</v>
      </c>
    </row>
    <row r="143" spans="2:16">
      <c r="B143" s="9" t="str">
        <f t="shared" si="15"/>
        <v/>
      </c>
      <c r="C143" s="157">
        <f>IF(D93="","-",+C142+1)</f>
        <v>2061</v>
      </c>
      <c r="D143" s="158">
        <f>IF(F142+SUM(E$99:E142)=D$92,F142,D$92-SUM(E$99:E142))</f>
        <v>0</v>
      </c>
      <c r="E143" s="164">
        <f t="shared" si="16"/>
        <v>0</v>
      </c>
      <c r="F143" s="163">
        <f t="shared" si="17"/>
        <v>0</v>
      </c>
      <c r="G143" s="163">
        <f t="shared" si="18"/>
        <v>0</v>
      </c>
      <c r="H143" s="333">
        <f t="shared" si="10"/>
        <v>0</v>
      </c>
      <c r="I143" s="344">
        <f t="shared" si="11"/>
        <v>0</v>
      </c>
      <c r="J143" s="162">
        <f t="shared" si="19"/>
        <v>0</v>
      </c>
      <c r="K143" s="162"/>
      <c r="L143" s="335"/>
      <c r="M143" s="162">
        <f t="shared" si="20"/>
        <v>0</v>
      </c>
      <c r="N143" s="335"/>
      <c r="O143" s="162">
        <f t="shared" si="21"/>
        <v>0</v>
      </c>
      <c r="P143" s="162">
        <f t="shared" si="22"/>
        <v>0</v>
      </c>
    </row>
    <row r="144" spans="2:16">
      <c r="B144" s="9" t="str">
        <f t="shared" si="15"/>
        <v/>
      </c>
      <c r="C144" s="157">
        <f>IF(D93="","-",+C143+1)</f>
        <v>2062</v>
      </c>
      <c r="D144" s="158">
        <f>IF(F143+SUM(E$99:E143)=D$92,F143,D$92-SUM(E$99:E143))</f>
        <v>0</v>
      </c>
      <c r="E144" s="164">
        <f t="shared" si="16"/>
        <v>0</v>
      </c>
      <c r="F144" s="163">
        <f t="shared" si="17"/>
        <v>0</v>
      </c>
      <c r="G144" s="163">
        <f t="shared" si="18"/>
        <v>0</v>
      </c>
      <c r="H144" s="333">
        <f t="shared" si="10"/>
        <v>0</v>
      </c>
      <c r="I144" s="344">
        <f t="shared" si="11"/>
        <v>0</v>
      </c>
      <c r="J144" s="162">
        <f t="shared" si="19"/>
        <v>0</v>
      </c>
      <c r="K144" s="162"/>
      <c r="L144" s="335"/>
      <c r="M144" s="162">
        <f t="shared" si="20"/>
        <v>0</v>
      </c>
      <c r="N144" s="335"/>
      <c r="O144" s="162">
        <f t="shared" si="21"/>
        <v>0</v>
      </c>
      <c r="P144" s="162">
        <f t="shared" si="22"/>
        <v>0</v>
      </c>
    </row>
    <row r="145" spans="2:16">
      <c r="B145" s="9" t="str">
        <f t="shared" si="15"/>
        <v/>
      </c>
      <c r="C145" s="157">
        <f>IF(D93="","-",+C144+1)</f>
        <v>2063</v>
      </c>
      <c r="D145" s="158">
        <f>IF(F144+SUM(E$99:E144)=D$92,F144,D$92-SUM(E$99:E144))</f>
        <v>0</v>
      </c>
      <c r="E145" s="164">
        <f t="shared" si="16"/>
        <v>0</v>
      </c>
      <c r="F145" s="163">
        <f t="shared" si="17"/>
        <v>0</v>
      </c>
      <c r="G145" s="163">
        <f t="shared" si="18"/>
        <v>0</v>
      </c>
      <c r="H145" s="333">
        <f t="shared" si="10"/>
        <v>0</v>
      </c>
      <c r="I145" s="344">
        <f t="shared" si="11"/>
        <v>0</v>
      </c>
      <c r="J145" s="162">
        <f t="shared" si="19"/>
        <v>0</v>
      </c>
      <c r="K145" s="162"/>
      <c r="L145" s="335"/>
      <c r="M145" s="162">
        <f t="shared" si="20"/>
        <v>0</v>
      </c>
      <c r="N145" s="335"/>
      <c r="O145" s="162">
        <f t="shared" si="21"/>
        <v>0</v>
      </c>
      <c r="P145" s="162">
        <f t="shared" si="22"/>
        <v>0</v>
      </c>
    </row>
    <row r="146" spans="2:16">
      <c r="B146" s="9" t="str">
        <f t="shared" si="15"/>
        <v/>
      </c>
      <c r="C146" s="157">
        <f>IF(D93="","-",+C145+1)</f>
        <v>2064</v>
      </c>
      <c r="D146" s="158">
        <f>IF(F145+SUM(E$99:E145)=D$92,F145,D$92-SUM(E$99:E145))</f>
        <v>0</v>
      </c>
      <c r="E146" s="164">
        <f t="shared" si="16"/>
        <v>0</v>
      </c>
      <c r="F146" s="163">
        <f t="shared" si="17"/>
        <v>0</v>
      </c>
      <c r="G146" s="163">
        <f t="shared" si="18"/>
        <v>0</v>
      </c>
      <c r="H146" s="333">
        <f t="shared" si="10"/>
        <v>0</v>
      </c>
      <c r="I146" s="344">
        <f t="shared" si="11"/>
        <v>0</v>
      </c>
      <c r="J146" s="162">
        <f t="shared" si="19"/>
        <v>0</v>
      </c>
      <c r="K146" s="162"/>
      <c r="L146" s="335"/>
      <c r="M146" s="162">
        <f t="shared" si="20"/>
        <v>0</v>
      </c>
      <c r="N146" s="335"/>
      <c r="O146" s="162">
        <f t="shared" si="21"/>
        <v>0</v>
      </c>
      <c r="P146" s="162">
        <f t="shared" si="22"/>
        <v>0</v>
      </c>
    </row>
    <row r="147" spans="2:16">
      <c r="B147" s="9" t="str">
        <f t="shared" si="15"/>
        <v/>
      </c>
      <c r="C147" s="157">
        <f>IF(D93="","-",+C146+1)</f>
        <v>2065</v>
      </c>
      <c r="D147" s="158">
        <f>IF(F146+SUM(E$99:E146)=D$92,F146,D$92-SUM(E$99:E146))</f>
        <v>0</v>
      </c>
      <c r="E147" s="164">
        <f t="shared" si="16"/>
        <v>0</v>
      </c>
      <c r="F147" s="163">
        <f t="shared" si="17"/>
        <v>0</v>
      </c>
      <c r="G147" s="163">
        <f t="shared" si="18"/>
        <v>0</v>
      </c>
      <c r="H147" s="333">
        <f t="shared" si="10"/>
        <v>0</v>
      </c>
      <c r="I147" s="344">
        <f t="shared" si="11"/>
        <v>0</v>
      </c>
      <c r="J147" s="162">
        <f t="shared" si="19"/>
        <v>0</v>
      </c>
      <c r="K147" s="162"/>
      <c r="L147" s="335"/>
      <c r="M147" s="162">
        <f t="shared" si="20"/>
        <v>0</v>
      </c>
      <c r="N147" s="335"/>
      <c r="O147" s="162">
        <f t="shared" si="21"/>
        <v>0</v>
      </c>
      <c r="P147" s="162">
        <f t="shared" si="22"/>
        <v>0</v>
      </c>
    </row>
    <row r="148" spans="2:16">
      <c r="B148" s="9" t="str">
        <f t="shared" si="15"/>
        <v/>
      </c>
      <c r="C148" s="157">
        <f>IF(D93="","-",+C147+1)</f>
        <v>2066</v>
      </c>
      <c r="D148" s="158">
        <f>IF(F147+SUM(E$99:E147)=D$92,F147,D$92-SUM(E$99:E147))</f>
        <v>0</v>
      </c>
      <c r="E148" s="164">
        <f t="shared" si="16"/>
        <v>0</v>
      </c>
      <c r="F148" s="163">
        <f t="shared" si="17"/>
        <v>0</v>
      </c>
      <c r="G148" s="163">
        <f t="shared" si="18"/>
        <v>0</v>
      </c>
      <c r="H148" s="333">
        <f t="shared" si="10"/>
        <v>0</v>
      </c>
      <c r="I148" s="344">
        <f t="shared" si="11"/>
        <v>0</v>
      </c>
      <c r="J148" s="162">
        <f t="shared" si="19"/>
        <v>0</v>
      </c>
      <c r="K148" s="162"/>
      <c r="L148" s="335"/>
      <c r="M148" s="162">
        <f t="shared" si="20"/>
        <v>0</v>
      </c>
      <c r="N148" s="335"/>
      <c r="O148" s="162">
        <f t="shared" si="21"/>
        <v>0</v>
      </c>
      <c r="P148" s="162">
        <f t="shared" si="22"/>
        <v>0</v>
      </c>
    </row>
    <row r="149" spans="2:16">
      <c r="B149" s="9" t="str">
        <f t="shared" si="15"/>
        <v/>
      </c>
      <c r="C149" s="157">
        <f>IF(D93="","-",+C148+1)</f>
        <v>2067</v>
      </c>
      <c r="D149" s="158">
        <f>IF(F148+SUM(E$99:E148)=D$92,F148,D$92-SUM(E$99:E148))</f>
        <v>0</v>
      </c>
      <c r="E149" s="164">
        <f t="shared" si="16"/>
        <v>0</v>
      </c>
      <c r="F149" s="163">
        <f t="shared" si="17"/>
        <v>0</v>
      </c>
      <c r="G149" s="163">
        <f t="shared" si="18"/>
        <v>0</v>
      </c>
      <c r="H149" s="333">
        <f t="shared" si="10"/>
        <v>0</v>
      </c>
      <c r="I149" s="344">
        <f t="shared" si="11"/>
        <v>0</v>
      </c>
      <c r="J149" s="162">
        <f t="shared" si="19"/>
        <v>0</v>
      </c>
      <c r="K149" s="162"/>
      <c r="L149" s="335"/>
      <c r="M149" s="162">
        <f t="shared" si="20"/>
        <v>0</v>
      </c>
      <c r="N149" s="335"/>
      <c r="O149" s="162">
        <f t="shared" si="21"/>
        <v>0</v>
      </c>
      <c r="P149" s="162">
        <f t="shared" si="22"/>
        <v>0</v>
      </c>
    </row>
    <row r="150" spans="2:16">
      <c r="B150" s="9" t="str">
        <f t="shared" si="15"/>
        <v/>
      </c>
      <c r="C150" s="157">
        <f>IF(D93="","-",+C149+1)</f>
        <v>2068</v>
      </c>
      <c r="D150" s="158">
        <f>IF(F149+SUM(E$99:E149)=D$92,F149,D$92-SUM(E$99:E149))</f>
        <v>0</v>
      </c>
      <c r="E150" s="164">
        <f t="shared" si="16"/>
        <v>0</v>
      </c>
      <c r="F150" s="163">
        <f t="shared" si="17"/>
        <v>0</v>
      </c>
      <c r="G150" s="163">
        <f t="shared" si="18"/>
        <v>0</v>
      </c>
      <c r="H150" s="333">
        <f t="shared" si="10"/>
        <v>0</v>
      </c>
      <c r="I150" s="344">
        <f t="shared" si="11"/>
        <v>0</v>
      </c>
      <c r="J150" s="162">
        <f t="shared" si="19"/>
        <v>0</v>
      </c>
      <c r="K150" s="162"/>
      <c r="L150" s="335"/>
      <c r="M150" s="162">
        <f t="shared" si="20"/>
        <v>0</v>
      </c>
      <c r="N150" s="335"/>
      <c r="O150" s="162">
        <f t="shared" si="21"/>
        <v>0</v>
      </c>
      <c r="P150" s="162">
        <f t="shared" si="22"/>
        <v>0</v>
      </c>
    </row>
    <row r="151" spans="2:16">
      <c r="B151" s="9" t="str">
        <f t="shared" si="15"/>
        <v/>
      </c>
      <c r="C151" s="157">
        <f>IF(D93="","-",+C150+1)</f>
        <v>2069</v>
      </c>
      <c r="D151" s="158">
        <f>IF(F150+SUM(E$99:E150)=D$92,F150,D$92-SUM(E$99:E150))</f>
        <v>0</v>
      </c>
      <c r="E151" s="164">
        <f t="shared" si="16"/>
        <v>0</v>
      </c>
      <c r="F151" s="163">
        <f t="shared" si="17"/>
        <v>0</v>
      </c>
      <c r="G151" s="163">
        <f t="shared" si="18"/>
        <v>0</v>
      </c>
      <c r="H151" s="333">
        <f t="shared" si="10"/>
        <v>0</v>
      </c>
      <c r="I151" s="344">
        <f t="shared" si="11"/>
        <v>0</v>
      </c>
      <c r="J151" s="162">
        <f t="shared" si="19"/>
        <v>0</v>
      </c>
      <c r="K151" s="162"/>
      <c r="L151" s="335"/>
      <c r="M151" s="162">
        <f t="shared" si="20"/>
        <v>0</v>
      </c>
      <c r="N151" s="335"/>
      <c r="O151" s="162">
        <f t="shared" si="21"/>
        <v>0</v>
      </c>
      <c r="P151" s="162">
        <f t="shared" si="22"/>
        <v>0</v>
      </c>
    </row>
    <row r="152" spans="2:16">
      <c r="B152" s="9" t="str">
        <f t="shared" si="15"/>
        <v/>
      </c>
      <c r="C152" s="157">
        <f>IF(D93="","-",+C151+1)</f>
        <v>2070</v>
      </c>
      <c r="D152" s="158">
        <f>IF(F151+SUM(E$99:E151)=D$92,F151,D$92-SUM(E$99:E151))</f>
        <v>0</v>
      </c>
      <c r="E152" s="164">
        <f t="shared" si="16"/>
        <v>0</v>
      </c>
      <c r="F152" s="163">
        <f t="shared" si="17"/>
        <v>0</v>
      </c>
      <c r="G152" s="163">
        <f t="shared" si="18"/>
        <v>0</v>
      </c>
      <c r="H152" s="333">
        <f t="shared" si="10"/>
        <v>0</v>
      </c>
      <c r="I152" s="344">
        <f t="shared" si="11"/>
        <v>0</v>
      </c>
      <c r="J152" s="162">
        <f t="shared" si="19"/>
        <v>0</v>
      </c>
      <c r="K152" s="162"/>
      <c r="L152" s="335"/>
      <c r="M152" s="162">
        <f t="shared" si="20"/>
        <v>0</v>
      </c>
      <c r="N152" s="335"/>
      <c r="O152" s="162">
        <f t="shared" si="21"/>
        <v>0</v>
      </c>
      <c r="P152" s="162">
        <f t="shared" si="22"/>
        <v>0</v>
      </c>
    </row>
    <row r="153" spans="2:16">
      <c r="B153" s="9" t="str">
        <f t="shared" si="15"/>
        <v/>
      </c>
      <c r="C153" s="157">
        <f>IF(D93="","-",+C152+1)</f>
        <v>2071</v>
      </c>
      <c r="D153" s="158">
        <f>IF(F152+SUM(E$99:E152)=D$92,F152,D$92-SUM(E$99:E152))</f>
        <v>0</v>
      </c>
      <c r="E153" s="164">
        <f t="shared" si="16"/>
        <v>0</v>
      </c>
      <c r="F153" s="163">
        <f t="shared" si="17"/>
        <v>0</v>
      </c>
      <c r="G153" s="163">
        <f t="shared" si="18"/>
        <v>0</v>
      </c>
      <c r="H153" s="333">
        <f t="shared" si="10"/>
        <v>0</v>
      </c>
      <c r="I153" s="344">
        <f t="shared" si="11"/>
        <v>0</v>
      </c>
      <c r="J153" s="162">
        <f t="shared" si="19"/>
        <v>0</v>
      </c>
      <c r="K153" s="162"/>
      <c r="L153" s="335"/>
      <c r="M153" s="162">
        <f t="shared" si="20"/>
        <v>0</v>
      </c>
      <c r="N153" s="335"/>
      <c r="O153" s="162">
        <f t="shared" si="21"/>
        <v>0</v>
      </c>
      <c r="P153" s="162">
        <f t="shared" si="22"/>
        <v>0</v>
      </c>
    </row>
    <row r="154" spans="2:16" ht="13.5" thickBot="1">
      <c r="B154" s="9" t="str">
        <f t="shared" si="15"/>
        <v/>
      </c>
      <c r="C154" s="168">
        <f>IF(D93="","-",+C153+1)</f>
        <v>2072</v>
      </c>
      <c r="D154" s="219">
        <f>IF(F153+SUM(E$99:E153)=D$92,F153,D$92-SUM(E$99:E153))</f>
        <v>0</v>
      </c>
      <c r="E154" s="170">
        <f t="shared" si="16"/>
        <v>0</v>
      </c>
      <c r="F154" s="169">
        <f t="shared" si="17"/>
        <v>0</v>
      </c>
      <c r="G154" s="169">
        <f t="shared" si="18"/>
        <v>0</v>
      </c>
      <c r="H154" s="345">
        <f t="shared" si="10"/>
        <v>0</v>
      </c>
      <c r="I154" s="346">
        <f t="shared" si="11"/>
        <v>0</v>
      </c>
      <c r="J154" s="173">
        <f t="shared" si="19"/>
        <v>0</v>
      </c>
      <c r="K154" s="162"/>
      <c r="L154" s="336"/>
      <c r="M154" s="173">
        <f t="shared" si="20"/>
        <v>0</v>
      </c>
      <c r="N154" s="336"/>
      <c r="O154" s="173">
        <f t="shared" si="21"/>
        <v>0</v>
      </c>
      <c r="P154" s="173">
        <f t="shared" si="22"/>
        <v>0</v>
      </c>
    </row>
    <row r="155" spans="2:16">
      <c r="C155" s="158" t="s">
        <v>72</v>
      </c>
      <c r="D155" s="115"/>
      <c r="E155" s="115">
        <f>SUM(E99:E154)</f>
        <v>1338978</v>
      </c>
      <c r="F155" s="115"/>
      <c r="G155" s="115"/>
      <c r="H155" s="115">
        <f>SUM(H99:H154)</f>
        <v>4284756.2814147584</v>
      </c>
      <c r="I155" s="115">
        <f>SUM(I99:I154)</f>
        <v>4284756.2814147584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conditionalFormatting sqref="C17:C72">
    <cfRule type="cellIs" dxfId="21" priority="1" stopIfTrue="1" operator="equal">
      <formula>$I$10</formula>
    </cfRule>
  </conditionalFormatting>
  <conditionalFormatting sqref="C99:C154">
    <cfRule type="cellIs" dxfId="20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/>
  <dimension ref="A1:P162"/>
  <sheetViews>
    <sheetView view="pageBreakPreview" topLeftCell="A79" zoomScale="78" zoomScaleNormal="100" zoomScaleSheetLayoutView="78" workbookViewId="0">
      <selection activeCell="D99" sqref="D99:I99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"&amp;RIGHT(MID(CELL("filename",$A$1),FIND("]",CELL("filename",$A$1))+1,256),2)&amp;" of "&amp;COUNT('P.001:P.xyz - blank'!$P$3)-1</f>
        <v>PSO Project 20 of 28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275</v>
      </c>
      <c r="L5" s="119"/>
      <c r="M5" s="120"/>
      <c r="N5" s="121">
        <f>VLOOKUP(I10,C17:I72,5)</f>
        <v>246703.23209680832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276</v>
      </c>
      <c r="L6" s="125"/>
      <c r="M6" s="4"/>
      <c r="N6" s="126">
        <f>VLOOKUP(I10,C17:I72,6)</f>
        <v>246703.23209680832</v>
      </c>
      <c r="O6" s="1"/>
      <c r="P6" s="1"/>
    </row>
    <row r="7" spans="1:16" ht="13.5" thickBot="1">
      <c r="C7" s="127" t="s">
        <v>41</v>
      </c>
      <c r="D7" s="227" t="s">
        <v>273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 t="str">
        <f>IF(D10&lt;100000,"DOES NOT MEET SPP $100,000 MINIMUM INVESTMENT FOR REGIONAL BPU SHARING.","")</f>
        <v/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43</v>
      </c>
      <c r="D9" s="229"/>
      <c r="E9" s="427" t="s">
        <v>293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1919729</v>
      </c>
      <c r="E10" s="64" t="s">
        <v>46</v>
      </c>
      <c r="F10" s="137"/>
      <c r="G10" s="139"/>
      <c r="H10" s="139"/>
      <c r="I10" s="140">
        <f>+PSO.WS.F.BPU.ATRR.Projected!L19</f>
        <v>2020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2018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12</v>
      </c>
      <c r="E12" s="141" t="s">
        <v>51</v>
      </c>
      <c r="F12" s="139"/>
      <c r="G12" s="7"/>
      <c r="H12" s="7"/>
      <c r="I12" s="145">
        <f>PSO.WS.F.BPU.ATRR.Projected!$F$81</f>
        <v>0.10800477690995318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42</v>
      </c>
      <c r="E13" s="141" t="s">
        <v>54</v>
      </c>
      <c r="F13" s="139"/>
      <c r="G13" s="7"/>
      <c r="H13" s="7"/>
      <c r="I13" s="145">
        <f>IF(G5="",I12,PSO.WS.F.BPU.ATRR.Projected!$F$80)</f>
        <v>0.10800477690995318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45707.833333333336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277</v>
      </c>
      <c r="H15" s="362" t="s">
        <v>278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v>2017</v>
      </c>
      <c r="D17" s="464">
        <v>0</v>
      </c>
      <c r="E17" s="464">
        <v>0</v>
      </c>
      <c r="F17" s="465">
        <v>483000</v>
      </c>
      <c r="G17" s="467">
        <v>30733</v>
      </c>
      <c r="H17" s="466">
        <v>30733</v>
      </c>
      <c r="I17" s="160">
        <f t="shared" ref="I17:I72" si="0">H17-G17</f>
        <v>0</v>
      </c>
      <c r="J17" s="160"/>
      <c r="K17" s="337">
        <f>+G17</f>
        <v>30733</v>
      </c>
      <c r="L17" s="161">
        <f t="shared" ref="L17:L72" si="1">IF(K17&lt;&gt;0,+G17-K17,0)</f>
        <v>0</v>
      </c>
      <c r="M17" s="337">
        <f>+H17</f>
        <v>30733</v>
      </c>
      <c r="N17" s="161">
        <f t="shared" ref="N17:N72" si="2">IF(M17&lt;&gt;0,+H17-M17,0)</f>
        <v>0</v>
      </c>
      <c r="O17" s="162">
        <f t="shared" ref="O17:O72" si="3">+N17-L17</f>
        <v>0</v>
      </c>
      <c r="P17" s="4"/>
    </row>
    <row r="18" spans="2:16">
      <c r="B18" s="9" t="str">
        <f>IF(D18=F17,"","IU")</f>
        <v>IU</v>
      </c>
      <c r="C18" s="157">
        <f>IF(D11="","-",+C17+1)</f>
        <v>2018</v>
      </c>
      <c r="D18" s="419">
        <v>0</v>
      </c>
      <c r="E18" s="420">
        <v>10555.555555555555</v>
      </c>
      <c r="F18" s="419">
        <v>1140000</v>
      </c>
      <c r="G18" s="420">
        <v>87696.739331146033</v>
      </c>
      <c r="H18" s="424">
        <v>87696.739331146033</v>
      </c>
      <c r="I18" s="160">
        <f t="shared" si="0"/>
        <v>0</v>
      </c>
      <c r="J18" s="160"/>
      <c r="K18" s="338">
        <f>G18</f>
        <v>87696.739331146033</v>
      </c>
      <c r="L18" s="439">
        <f>IF(K18&lt;&gt;0,+G18-K18,0)</f>
        <v>0</v>
      </c>
      <c r="M18" s="338">
        <f>H18</f>
        <v>87696.739331146033</v>
      </c>
      <c r="N18" s="162">
        <f>IF(M18&lt;&gt;0,+H18-M18,0)</f>
        <v>0</v>
      </c>
      <c r="O18" s="160">
        <f>+N18-L18</f>
        <v>0</v>
      </c>
      <c r="P18" s="4"/>
    </row>
    <row r="19" spans="2:16">
      <c r="B19" s="9" t="str">
        <f>IF(D19=F18,"","IU")</f>
        <v>IU</v>
      </c>
      <c r="C19" s="157">
        <f>IF(D11="","-",+C18+1)</f>
        <v>2019</v>
      </c>
      <c r="D19" s="419">
        <v>1129444.4444444445</v>
      </c>
      <c r="E19" s="420">
        <v>25333.333333333332</v>
      </c>
      <c r="F19" s="419">
        <v>1104111.1111111112</v>
      </c>
      <c r="G19" s="420">
        <v>176472.91191587914</v>
      </c>
      <c r="H19" s="424">
        <v>176472.91191587914</v>
      </c>
      <c r="I19" s="160">
        <f t="shared" si="0"/>
        <v>0</v>
      </c>
      <c r="J19" s="160"/>
      <c r="K19" s="338">
        <f>G19</f>
        <v>176472.91191587914</v>
      </c>
      <c r="L19" s="439">
        <f>IF(K19&lt;&gt;0,+G19-K19,0)</f>
        <v>0</v>
      </c>
      <c r="M19" s="338">
        <f>H19</f>
        <v>176472.91191587914</v>
      </c>
      <c r="N19" s="162">
        <f>IF(M19&lt;&gt;0,+H19-M19,0)</f>
        <v>0</v>
      </c>
      <c r="O19" s="160">
        <f>+N19-L19</f>
        <v>0</v>
      </c>
      <c r="P19" s="4"/>
    </row>
    <row r="20" spans="2:16">
      <c r="B20" s="9" t="str">
        <f t="shared" ref="B20:B72" si="4">IF(D20=F19,"","IU")</f>
        <v>IU</v>
      </c>
      <c r="C20" s="157">
        <f>IF(D11="","-",+C19+1)</f>
        <v>2020</v>
      </c>
      <c r="D20" s="166">
        <f>IF(F19+SUM(E$17:E19)=D$10,F19,D$10-SUM(E$17:E19))</f>
        <v>1883840.111111111</v>
      </c>
      <c r="E20" s="164">
        <f t="shared" ref="E20:E72" si="5">IF(+I$14&lt;F19,I$14,D20)</f>
        <v>45707.833333333336</v>
      </c>
      <c r="F20" s="163">
        <f t="shared" ref="F20:F72" si="6">+D20-E20</f>
        <v>1838132.2777777778</v>
      </c>
      <c r="G20" s="165">
        <f t="shared" ref="G20:G72" si="7">(D20+F20)/2*I$12+E20</f>
        <v>246703.23209680832</v>
      </c>
      <c r="H20" s="147">
        <f t="shared" ref="H20:H72" si="8">+(D20+F20)/2*I$13+E20</f>
        <v>246703.23209680832</v>
      </c>
      <c r="I20" s="160">
        <f t="shared" si="0"/>
        <v>0</v>
      </c>
      <c r="J20" s="160"/>
      <c r="K20" s="335"/>
      <c r="L20" s="162">
        <f t="shared" si="1"/>
        <v>0</v>
      </c>
      <c r="M20" s="335"/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4"/>
        <v/>
      </c>
      <c r="C21" s="157">
        <f>IF(D11="","-",+C20+1)</f>
        <v>2021</v>
      </c>
      <c r="D21" s="166">
        <f>IF(F20+SUM(E$17:E20)=D$10,F20,D$10-SUM(E$17:E20))</f>
        <v>1838132.2777777778</v>
      </c>
      <c r="E21" s="164">
        <f t="shared" si="5"/>
        <v>45707.833333333336</v>
      </c>
      <c r="F21" s="163">
        <f t="shared" si="6"/>
        <v>1792424.4444444445</v>
      </c>
      <c r="G21" s="165">
        <f t="shared" si="7"/>
        <v>241766.5677546043</v>
      </c>
      <c r="H21" s="147">
        <f t="shared" si="8"/>
        <v>241766.5677546043</v>
      </c>
      <c r="I21" s="160">
        <f t="shared" si="0"/>
        <v>0</v>
      </c>
      <c r="J21" s="160"/>
      <c r="K21" s="335"/>
      <c r="L21" s="162">
        <f t="shared" si="1"/>
        <v>0</v>
      </c>
      <c r="M21" s="335"/>
      <c r="N21" s="162">
        <f t="shared" si="2"/>
        <v>0</v>
      </c>
      <c r="O21" s="162">
        <f t="shared" si="3"/>
        <v>0</v>
      </c>
      <c r="P21" s="4"/>
    </row>
    <row r="22" spans="2:16">
      <c r="B22" s="9" t="str">
        <f t="shared" si="4"/>
        <v/>
      </c>
      <c r="C22" s="157">
        <f>IF(D11="","-",+C21+1)</f>
        <v>2022</v>
      </c>
      <c r="D22" s="166">
        <f>IF(F21+SUM(E$17:E21)=D$10,F21,D$10-SUM(E$17:E21))</f>
        <v>1792424.4444444445</v>
      </c>
      <c r="E22" s="164">
        <f t="shared" si="5"/>
        <v>45707.833333333336</v>
      </c>
      <c r="F22" s="163">
        <f t="shared" si="6"/>
        <v>1746716.6111111112</v>
      </c>
      <c r="G22" s="165">
        <f t="shared" si="7"/>
        <v>236829.90341240037</v>
      </c>
      <c r="H22" s="147">
        <f t="shared" si="8"/>
        <v>236829.90341240037</v>
      </c>
      <c r="I22" s="160">
        <f t="shared" si="0"/>
        <v>0</v>
      </c>
      <c r="J22" s="160"/>
      <c r="K22" s="335"/>
      <c r="L22" s="162">
        <f t="shared" si="1"/>
        <v>0</v>
      </c>
      <c r="M22" s="335"/>
      <c r="N22" s="162">
        <f t="shared" si="2"/>
        <v>0</v>
      </c>
      <c r="O22" s="162">
        <f t="shared" si="3"/>
        <v>0</v>
      </c>
      <c r="P22" s="4"/>
    </row>
    <row r="23" spans="2:16">
      <c r="B23" s="9" t="str">
        <f t="shared" si="4"/>
        <v/>
      </c>
      <c r="C23" s="157">
        <f>IF(D11="","-",+C22+1)</f>
        <v>2023</v>
      </c>
      <c r="D23" s="166">
        <f>IF(F22+SUM(E$17:E22)=D$10,F22,D$10-SUM(E$17:E22))</f>
        <v>1746716.6111111112</v>
      </c>
      <c r="E23" s="164">
        <f t="shared" si="5"/>
        <v>45707.833333333336</v>
      </c>
      <c r="F23" s="163">
        <f t="shared" si="6"/>
        <v>1701008.777777778</v>
      </c>
      <c r="G23" s="165">
        <f t="shared" si="7"/>
        <v>231893.23907019634</v>
      </c>
      <c r="H23" s="147">
        <f t="shared" si="8"/>
        <v>231893.23907019634</v>
      </c>
      <c r="I23" s="160">
        <f t="shared" si="0"/>
        <v>0</v>
      </c>
      <c r="J23" s="160"/>
      <c r="K23" s="335"/>
      <c r="L23" s="162">
        <f t="shared" si="1"/>
        <v>0</v>
      </c>
      <c r="M23" s="335"/>
      <c r="N23" s="162">
        <f t="shared" si="2"/>
        <v>0</v>
      </c>
      <c r="O23" s="162">
        <f t="shared" si="3"/>
        <v>0</v>
      </c>
      <c r="P23" s="4"/>
    </row>
    <row r="24" spans="2:16">
      <c r="B24" s="9" t="str">
        <f t="shared" si="4"/>
        <v/>
      </c>
      <c r="C24" s="157">
        <f>IF(D11="","-",+C23+1)</f>
        <v>2024</v>
      </c>
      <c r="D24" s="166">
        <f>IF(F23+SUM(E$17:E23)=D$10,F23,D$10-SUM(E$17:E23))</f>
        <v>1701008.777777778</v>
      </c>
      <c r="E24" s="164">
        <f t="shared" si="5"/>
        <v>45707.833333333336</v>
      </c>
      <c r="F24" s="163">
        <f t="shared" si="6"/>
        <v>1655300.9444444447</v>
      </c>
      <c r="G24" s="165">
        <f t="shared" si="7"/>
        <v>226956.57472799241</v>
      </c>
      <c r="H24" s="147">
        <f t="shared" si="8"/>
        <v>226956.57472799241</v>
      </c>
      <c r="I24" s="160">
        <f t="shared" si="0"/>
        <v>0</v>
      </c>
      <c r="J24" s="160"/>
      <c r="K24" s="335"/>
      <c r="L24" s="162">
        <f t="shared" si="1"/>
        <v>0</v>
      </c>
      <c r="M24" s="335"/>
      <c r="N24" s="162">
        <f t="shared" si="2"/>
        <v>0</v>
      </c>
      <c r="O24" s="162">
        <f t="shared" si="3"/>
        <v>0</v>
      </c>
      <c r="P24" s="4"/>
    </row>
    <row r="25" spans="2:16">
      <c r="B25" s="9" t="str">
        <f t="shared" si="4"/>
        <v/>
      </c>
      <c r="C25" s="157">
        <f>IF(D11="","-",+C24+1)</f>
        <v>2025</v>
      </c>
      <c r="D25" s="166">
        <f>IF(F24+SUM(E$17:E24)=D$10,F24,D$10-SUM(E$17:E24))</f>
        <v>1655300.9444444447</v>
      </c>
      <c r="E25" s="164">
        <f t="shared" si="5"/>
        <v>45707.833333333336</v>
      </c>
      <c r="F25" s="163">
        <f t="shared" si="6"/>
        <v>1609593.1111111115</v>
      </c>
      <c r="G25" s="165">
        <f t="shared" si="7"/>
        <v>222019.91038578839</v>
      </c>
      <c r="H25" s="147">
        <f t="shared" si="8"/>
        <v>222019.91038578839</v>
      </c>
      <c r="I25" s="160">
        <f t="shared" si="0"/>
        <v>0</v>
      </c>
      <c r="J25" s="160"/>
      <c r="K25" s="335"/>
      <c r="L25" s="162">
        <f t="shared" si="1"/>
        <v>0</v>
      </c>
      <c r="M25" s="335"/>
      <c r="N25" s="162">
        <f t="shared" si="2"/>
        <v>0</v>
      </c>
      <c r="O25" s="162">
        <f t="shared" si="3"/>
        <v>0</v>
      </c>
      <c r="P25" s="4"/>
    </row>
    <row r="26" spans="2:16">
      <c r="B26" s="9" t="str">
        <f t="shared" si="4"/>
        <v/>
      </c>
      <c r="C26" s="157">
        <f>IF(D11="","-",+C25+1)</f>
        <v>2026</v>
      </c>
      <c r="D26" s="166">
        <f>IF(F25+SUM(E$17:E25)=D$10,F25,D$10-SUM(E$17:E25))</f>
        <v>1609593.1111111115</v>
      </c>
      <c r="E26" s="164">
        <f t="shared" si="5"/>
        <v>45707.833333333336</v>
      </c>
      <c r="F26" s="163">
        <f t="shared" si="6"/>
        <v>1563885.2777777782</v>
      </c>
      <c r="G26" s="165">
        <f t="shared" si="7"/>
        <v>217083.24604358443</v>
      </c>
      <c r="H26" s="147">
        <f t="shared" si="8"/>
        <v>217083.24604358443</v>
      </c>
      <c r="I26" s="160">
        <f t="shared" si="0"/>
        <v>0</v>
      </c>
      <c r="J26" s="160"/>
      <c r="K26" s="335"/>
      <c r="L26" s="162">
        <f t="shared" si="1"/>
        <v>0</v>
      </c>
      <c r="M26" s="335"/>
      <c r="N26" s="162">
        <f t="shared" si="2"/>
        <v>0</v>
      </c>
      <c r="O26" s="162">
        <f t="shared" si="3"/>
        <v>0</v>
      </c>
      <c r="P26" s="4"/>
    </row>
    <row r="27" spans="2:16">
      <c r="B27" s="9" t="str">
        <f t="shared" si="4"/>
        <v/>
      </c>
      <c r="C27" s="157">
        <f>IF(D11="","-",+C26+1)</f>
        <v>2027</v>
      </c>
      <c r="D27" s="166">
        <f>IF(F26+SUM(E$17:E26)=D$10,F26,D$10-SUM(E$17:E26))</f>
        <v>1563885.2777777782</v>
      </c>
      <c r="E27" s="164">
        <f t="shared" si="5"/>
        <v>45707.833333333336</v>
      </c>
      <c r="F27" s="163">
        <f t="shared" si="6"/>
        <v>1518177.444444445</v>
      </c>
      <c r="G27" s="165">
        <f t="shared" si="7"/>
        <v>212146.58170138043</v>
      </c>
      <c r="H27" s="147">
        <f t="shared" si="8"/>
        <v>212146.58170138043</v>
      </c>
      <c r="I27" s="160">
        <f t="shared" si="0"/>
        <v>0</v>
      </c>
      <c r="J27" s="160"/>
      <c r="K27" s="335"/>
      <c r="L27" s="162">
        <f t="shared" si="1"/>
        <v>0</v>
      </c>
      <c r="M27" s="335"/>
      <c r="N27" s="162">
        <f t="shared" si="2"/>
        <v>0</v>
      </c>
      <c r="O27" s="162">
        <f t="shared" si="3"/>
        <v>0</v>
      </c>
      <c r="P27" s="4"/>
    </row>
    <row r="28" spans="2:16">
      <c r="B28" s="9" t="str">
        <f t="shared" si="4"/>
        <v/>
      </c>
      <c r="C28" s="157">
        <f>IF(D11="","-",+C27+1)</f>
        <v>2028</v>
      </c>
      <c r="D28" s="166">
        <f>IF(F27+SUM(E$17:E27)=D$10,F27,D$10-SUM(E$17:E27))</f>
        <v>1518177.444444445</v>
      </c>
      <c r="E28" s="164">
        <f t="shared" si="5"/>
        <v>45707.833333333336</v>
      </c>
      <c r="F28" s="163">
        <f t="shared" si="6"/>
        <v>1472469.6111111117</v>
      </c>
      <c r="G28" s="165">
        <f t="shared" si="7"/>
        <v>207209.91735917647</v>
      </c>
      <c r="H28" s="147">
        <f t="shared" si="8"/>
        <v>207209.91735917647</v>
      </c>
      <c r="I28" s="160">
        <f t="shared" si="0"/>
        <v>0</v>
      </c>
      <c r="J28" s="160"/>
      <c r="K28" s="335"/>
      <c r="L28" s="162">
        <f t="shared" si="1"/>
        <v>0</v>
      </c>
      <c r="M28" s="335"/>
      <c r="N28" s="162">
        <f t="shared" si="2"/>
        <v>0</v>
      </c>
      <c r="O28" s="162">
        <f t="shared" si="3"/>
        <v>0</v>
      </c>
      <c r="P28" s="4"/>
    </row>
    <row r="29" spans="2:16">
      <c r="B29" s="9" t="str">
        <f t="shared" si="4"/>
        <v/>
      </c>
      <c r="C29" s="157">
        <f>IF(D11="","-",+C28+1)</f>
        <v>2029</v>
      </c>
      <c r="D29" s="166">
        <f>IF(F28+SUM(E$17:E28)=D$10,F28,D$10-SUM(E$17:E28))</f>
        <v>1472469.6111111117</v>
      </c>
      <c r="E29" s="164">
        <f t="shared" si="5"/>
        <v>45707.833333333336</v>
      </c>
      <c r="F29" s="163">
        <f t="shared" si="6"/>
        <v>1426761.7777777785</v>
      </c>
      <c r="G29" s="165">
        <f t="shared" si="7"/>
        <v>202273.25301697248</v>
      </c>
      <c r="H29" s="147">
        <f t="shared" si="8"/>
        <v>202273.25301697248</v>
      </c>
      <c r="I29" s="160">
        <f t="shared" si="0"/>
        <v>0</v>
      </c>
      <c r="J29" s="160"/>
      <c r="K29" s="335"/>
      <c r="L29" s="162">
        <f t="shared" si="1"/>
        <v>0</v>
      </c>
      <c r="M29" s="335"/>
      <c r="N29" s="162">
        <f t="shared" si="2"/>
        <v>0</v>
      </c>
      <c r="O29" s="162">
        <f t="shared" si="3"/>
        <v>0</v>
      </c>
      <c r="P29" s="4"/>
    </row>
    <row r="30" spans="2:16">
      <c r="B30" s="9" t="str">
        <f t="shared" si="4"/>
        <v/>
      </c>
      <c r="C30" s="157">
        <f>IF(D11="","-",+C29+1)</f>
        <v>2030</v>
      </c>
      <c r="D30" s="166">
        <f>IF(F29+SUM(E$17:E29)=D$10,F29,D$10-SUM(E$17:E29))</f>
        <v>1426761.7777777785</v>
      </c>
      <c r="E30" s="164">
        <f t="shared" si="5"/>
        <v>45707.833333333336</v>
      </c>
      <c r="F30" s="163">
        <f t="shared" si="6"/>
        <v>1381053.9444444452</v>
      </c>
      <c r="G30" s="165">
        <f t="shared" si="7"/>
        <v>197336.58867476851</v>
      </c>
      <c r="H30" s="147">
        <f t="shared" si="8"/>
        <v>197336.58867476851</v>
      </c>
      <c r="I30" s="160">
        <f t="shared" si="0"/>
        <v>0</v>
      </c>
      <c r="J30" s="160"/>
      <c r="K30" s="335"/>
      <c r="L30" s="162">
        <f t="shared" si="1"/>
        <v>0</v>
      </c>
      <c r="M30" s="335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4"/>
        <v/>
      </c>
      <c r="C31" s="157">
        <f>IF(D11="","-",+C30+1)</f>
        <v>2031</v>
      </c>
      <c r="D31" s="166">
        <f>IF(F30+SUM(E$17:E30)=D$10,F30,D$10-SUM(E$17:E30))</f>
        <v>1381053.9444444452</v>
      </c>
      <c r="E31" s="164">
        <f t="shared" si="5"/>
        <v>45707.833333333336</v>
      </c>
      <c r="F31" s="163">
        <f t="shared" si="6"/>
        <v>1335346.1111111119</v>
      </c>
      <c r="G31" s="165">
        <f t="shared" si="7"/>
        <v>192399.92433256452</v>
      </c>
      <c r="H31" s="147">
        <f t="shared" si="8"/>
        <v>192399.92433256452</v>
      </c>
      <c r="I31" s="160">
        <f t="shared" si="0"/>
        <v>0</v>
      </c>
      <c r="J31" s="160"/>
      <c r="K31" s="335"/>
      <c r="L31" s="162">
        <f t="shared" si="1"/>
        <v>0</v>
      </c>
      <c r="M31" s="335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4"/>
        <v/>
      </c>
      <c r="C32" s="157">
        <f>IF(D11="","-",+C31+1)</f>
        <v>2032</v>
      </c>
      <c r="D32" s="166">
        <f>IF(F31+SUM(E$17:E31)=D$10,F31,D$10-SUM(E$17:E31))</f>
        <v>1335346.1111111119</v>
      </c>
      <c r="E32" s="164">
        <f t="shared" si="5"/>
        <v>45707.833333333336</v>
      </c>
      <c r="F32" s="163">
        <f t="shared" si="6"/>
        <v>1289638.2777777787</v>
      </c>
      <c r="G32" s="165">
        <f t="shared" si="7"/>
        <v>187463.25999036056</v>
      </c>
      <c r="H32" s="147">
        <f t="shared" si="8"/>
        <v>187463.25999036056</v>
      </c>
      <c r="I32" s="160">
        <f t="shared" si="0"/>
        <v>0</v>
      </c>
      <c r="J32" s="160"/>
      <c r="K32" s="335"/>
      <c r="L32" s="162">
        <f t="shared" si="1"/>
        <v>0</v>
      </c>
      <c r="M32" s="335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4"/>
        <v/>
      </c>
      <c r="C33" s="157">
        <f>IF(D11="","-",+C32+1)</f>
        <v>2033</v>
      </c>
      <c r="D33" s="166">
        <f>IF(F32+SUM(E$17:E32)=D$10,F32,D$10-SUM(E$17:E32))</f>
        <v>1289638.2777777787</v>
      </c>
      <c r="E33" s="164">
        <f t="shared" si="5"/>
        <v>45707.833333333336</v>
      </c>
      <c r="F33" s="163">
        <f t="shared" si="6"/>
        <v>1243930.4444444454</v>
      </c>
      <c r="G33" s="165">
        <f t="shared" si="7"/>
        <v>182526.59564815657</v>
      </c>
      <c r="H33" s="147">
        <f t="shared" si="8"/>
        <v>182526.59564815657</v>
      </c>
      <c r="I33" s="160">
        <f t="shared" si="0"/>
        <v>0</v>
      </c>
      <c r="J33" s="160"/>
      <c r="K33" s="335"/>
      <c r="L33" s="162">
        <f t="shared" si="1"/>
        <v>0</v>
      </c>
      <c r="M33" s="335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4"/>
        <v/>
      </c>
      <c r="C34" s="157">
        <f>IF(D11="","-",+C33+1)</f>
        <v>2034</v>
      </c>
      <c r="D34" s="166">
        <f>IF(F33+SUM(E$17:E33)=D$10,F33,D$10-SUM(E$17:E33))</f>
        <v>1243930.4444444454</v>
      </c>
      <c r="E34" s="164">
        <f t="shared" si="5"/>
        <v>45707.833333333336</v>
      </c>
      <c r="F34" s="163">
        <f t="shared" si="6"/>
        <v>1198222.6111111122</v>
      </c>
      <c r="G34" s="165">
        <f t="shared" si="7"/>
        <v>177589.9313059526</v>
      </c>
      <c r="H34" s="147">
        <f t="shared" si="8"/>
        <v>177589.9313059526</v>
      </c>
      <c r="I34" s="160">
        <f t="shared" si="0"/>
        <v>0</v>
      </c>
      <c r="J34" s="160"/>
      <c r="K34" s="335"/>
      <c r="L34" s="162">
        <f t="shared" si="1"/>
        <v>0</v>
      </c>
      <c r="M34" s="335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4"/>
        <v/>
      </c>
      <c r="C35" s="157">
        <f>IF(D11="","-",+C34+1)</f>
        <v>2035</v>
      </c>
      <c r="D35" s="166">
        <f>IF(F34+SUM(E$17:E34)=D$10,F34,D$10-SUM(E$17:E34))</f>
        <v>1198222.6111111122</v>
      </c>
      <c r="E35" s="164">
        <f t="shared" si="5"/>
        <v>45707.833333333336</v>
      </c>
      <c r="F35" s="163">
        <f t="shared" si="6"/>
        <v>1152514.7777777789</v>
      </c>
      <c r="G35" s="165">
        <f t="shared" si="7"/>
        <v>172653.26696374858</v>
      </c>
      <c r="H35" s="147">
        <f t="shared" si="8"/>
        <v>172653.26696374858</v>
      </c>
      <c r="I35" s="160">
        <f t="shared" si="0"/>
        <v>0</v>
      </c>
      <c r="J35" s="160"/>
      <c r="K35" s="335"/>
      <c r="L35" s="162">
        <f t="shared" si="1"/>
        <v>0</v>
      </c>
      <c r="M35" s="335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4"/>
        <v/>
      </c>
      <c r="C36" s="157">
        <f>IF(D11="","-",+C35+1)</f>
        <v>2036</v>
      </c>
      <c r="D36" s="166">
        <f>IF(F35+SUM(E$17:E35)=D$10,F35,D$10-SUM(E$17:E35))</f>
        <v>1152514.7777777789</v>
      </c>
      <c r="E36" s="164">
        <f t="shared" si="5"/>
        <v>45707.833333333336</v>
      </c>
      <c r="F36" s="163">
        <f t="shared" si="6"/>
        <v>1106806.9444444457</v>
      </c>
      <c r="G36" s="165">
        <f t="shared" si="7"/>
        <v>167716.60262154465</v>
      </c>
      <c r="H36" s="147">
        <f t="shared" si="8"/>
        <v>167716.60262154465</v>
      </c>
      <c r="I36" s="160">
        <f t="shared" si="0"/>
        <v>0</v>
      </c>
      <c r="J36" s="160"/>
      <c r="K36" s="335"/>
      <c r="L36" s="162">
        <f t="shared" si="1"/>
        <v>0</v>
      </c>
      <c r="M36" s="335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4"/>
        <v/>
      </c>
      <c r="C37" s="157">
        <f>IF(D11="","-",+C36+1)</f>
        <v>2037</v>
      </c>
      <c r="D37" s="166">
        <f>IF(F36+SUM(E$17:E36)=D$10,F36,D$10-SUM(E$17:E36))</f>
        <v>1106806.9444444457</v>
      </c>
      <c r="E37" s="164">
        <f t="shared" si="5"/>
        <v>45707.833333333336</v>
      </c>
      <c r="F37" s="163">
        <f t="shared" si="6"/>
        <v>1061099.1111111124</v>
      </c>
      <c r="G37" s="165">
        <f t="shared" si="7"/>
        <v>162779.93827934063</v>
      </c>
      <c r="H37" s="147">
        <f t="shared" si="8"/>
        <v>162779.93827934063</v>
      </c>
      <c r="I37" s="160">
        <f t="shared" si="0"/>
        <v>0</v>
      </c>
      <c r="J37" s="160"/>
      <c r="K37" s="335"/>
      <c r="L37" s="162">
        <f t="shared" si="1"/>
        <v>0</v>
      </c>
      <c r="M37" s="335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4"/>
        <v/>
      </c>
      <c r="C38" s="157">
        <f>IF(D11="","-",+C37+1)</f>
        <v>2038</v>
      </c>
      <c r="D38" s="166">
        <f>IF(F37+SUM(E$17:E37)=D$10,F37,D$10-SUM(E$17:E37))</f>
        <v>1061099.1111111124</v>
      </c>
      <c r="E38" s="164">
        <f t="shared" si="5"/>
        <v>45707.833333333336</v>
      </c>
      <c r="F38" s="163">
        <f t="shared" si="6"/>
        <v>1015391.277777779</v>
      </c>
      <c r="G38" s="165">
        <f t="shared" si="7"/>
        <v>157843.27393713666</v>
      </c>
      <c r="H38" s="147">
        <f t="shared" si="8"/>
        <v>157843.27393713666</v>
      </c>
      <c r="I38" s="160">
        <f t="shared" si="0"/>
        <v>0</v>
      </c>
      <c r="J38" s="160"/>
      <c r="K38" s="335"/>
      <c r="L38" s="162">
        <f t="shared" si="1"/>
        <v>0</v>
      </c>
      <c r="M38" s="335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4"/>
        <v/>
      </c>
      <c r="C39" s="157">
        <f>IF(D11="","-",+C38+1)</f>
        <v>2039</v>
      </c>
      <c r="D39" s="166">
        <f>IF(F38+SUM(E$17:E38)=D$10,F38,D$10-SUM(E$17:E38))</f>
        <v>1015391.277777779</v>
      </c>
      <c r="E39" s="164">
        <f t="shared" si="5"/>
        <v>45707.833333333336</v>
      </c>
      <c r="F39" s="163">
        <f t="shared" si="6"/>
        <v>969683.44444444566</v>
      </c>
      <c r="G39" s="165">
        <f t="shared" si="7"/>
        <v>152906.60959493267</v>
      </c>
      <c r="H39" s="147">
        <f t="shared" si="8"/>
        <v>152906.60959493267</v>
      </c>
      <c r="I39" s="160">
        <f t="shared" si="0"/>
        <v>0</v>
      </c>
      <c r="J39" s="160"/>
      <c r="K39" s="335"/>
      <c r="L39" s="162">
        <f t="shared" si="1"/>
        <v>0</v>
      </c>
      <c r="M39" s="335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4"/>
        <v/>
      </c>
      <c r="C40" s="157">
        <f>IF(D11="","-",+C39+1)</f>
        <v>2040</v>
      </c>
      <c r="D40" s="166">
        <f>IF(F39+SUM(E$17:E39)=D$10,F39,D$10-SUM(E$17:E39))</f>
        <v>969683.44444444566</v>
      </c>
      <c r="E40" s="164">
        <f t="shared" si="5"/>
        <v>45707.833333333336</v>
      </c>
      <c r="F40" s="163">
        <f t="shared" si="6"/>
        <v>923975.61111111229</v>
      </c>
      <c r="G40" s="165">
        <f t="shared" si="7"/>
        <v>147969.94525272868</v>
      </c>
      <c r="H40" s="147">
        <f t="shared" si="8"/>
        <v>147969.94525272868</v>
      </c>
      <c r="I40" s="160">
        <f t="shared" si="0"/>
        <v>0</v>
      </c>
      <c r="J40" s="160"/>
      <c r="K40" s="335"/>
      <c r="L40" s="162">
        <f t="shared" si="1"/>
        <v>0</v>
      </c>
      <c r="M40" s="335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4"/>
        <v/>
      </c>
      <c r="C41" s="157">
        <f>IF(D11="","-",+C40+1)</f>
        <v>2041</v>
      </c>
      <c r="D41" s="166">
        <f>IF(F40+SUM(E$17:E40)=D$10,F40,D$10-SUM(E$17:E40))</f>
        <v>923975.61111111229</v>
      </c>
      <c r="E41" s="164">
        <f t="shared" si="5"/>
        <v>45707.833333333336</v>
      </c>
      <c r="F41" s="163">
        <f t="shared" si="6"/>
        <v>878267.77777777892</v>
      </c>
      <c r="G41" s="165">
        <f t="shared" si="7"/>
        <v>143033.28091052469</v>
      </c>
      <c r="H41" s="147">
        <f t="shared" si="8"/>
        <v>143033.28091052469</v>
      </c>
      <c r="I41" s="160">
        <f t="shared" si="0"/>
        <v>0</v>
      </c>
      <c r="J41" s="160"/>
      <c r="K41" s="335"/>
      <c r="L41" s="162">
        <f t="shared" si="1"/>
        <v>0</v>
      </c>
      <c r="M41" s="335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4"/>
        <v/>
      </c>
      <c r="C42" s="157">
        <f>IF(D11="","-",+C41+1)</f>
        <v>2042</v>
      </c>
      <c r="D42" s="166">
        <f>IF(F41+SUM(E$17:E41)=D$10,F41,D$10-SUM(E$17:E41))</f>
        <v>878267.77777777892</v>
      </c>
      <c r="E42" s="164">
        <f t="shared" si="5"/>
        <v>45707.833333333336</v>
      </c>
      <c r="F42" s="163">
        <f t="shared" si="6"/>
        <v>832559.94444444554</v>
      </c>
      <c r="G42" s="165">
        <f t="shared" si="7"/>
        <v>138096.61656832069</v>
      </c>
      <c r="H42" s="147">
        <f t="shared" si="8"/>
        <v>138096.61656832069</v>
      </c>
      <c r="I42" s="160">
        <f t="shared" si="0"/>
        <v>0</v>
      </c>
      <c r="J42" s="160"/>
      <c r="K42" s="335"/>
      <c r="L42" s="162">
        <f t="shared" si="1"/>
        <v>0</v>
      </c>
      <c r="M42" s="335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4"/>
        <v/>
      </c>
      <c r="C43" s="157">
        <f>IF(D11="","-",+C42+1)</f>
        <v>2043</v>
      </c>
      <c r="D43" s="166">
        <f>IF(F42+SUM(E$17:E42)=D$10,F42,D$10-SUM(E$17:E42))</f>
        <v>832559.94444444554</v>
      </c>
      <c r="E43" s="164">
        <f t="shared" si="5"/>
        <v>45707.833333333336</v>
      </c>
      <c r="F43" s="163">
        <f t="shared" si="6"/>
        <v>786852.11111111217</v>
      </c>
      <c r="G43" s="165">
        <f t="shared" si="7"/>
        <v>133159.9522261167</v>
      </c>
      <c r="H43" s="147">
        <f t="shared" si="8"/>
        <v>133159.9522261167</v>
      </c>
      <c r="I43" s="160">
        <f t="shared" si="0"/>
        <v>0</v>
      </c>
      <c r="J43" s="160"/>
      <c r="K43" s="335"/>
      <c r="L43" s="162">
        <f t="shared" si="1"/>
        <v>0</v>
      </c>
      <c r="M43" s="335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4"/>
        <v/>
      </c>
      <c r="C44" s="157">
        <f>IF(D11="","-",+C43+1)</f>
        <v>2044</v>
      </c>
      <c r="D44" s="166">
        <f>IF(F43+SUM(E$17:E43)=D$10,F43,D$10-SUM(E$17:E43))</f>
        <v>786852.11111111217</v>
      </c>
      <c r="E44" s="164">
        <f t="shared" si="5"/>
        <v>45707.833333333336</v>
      </c>
      <c r="F44" s="163">
        <f t="shared" si="6"/>
        <v>741144.2777777788</v>
      </c>
      <c r="G44" s="165">
        <f t="shared" si="7"/>
        <v>128223.28788391271</v>
      </c>
      <c r="H44" s="147">
        <f t="shared" si="8"/>
        <v>128223.28788391271</v>
      </c>
      <c r="I44" s="160">
        <f t="shared" si="0"/>
        <v>0</v>
      </c>
      <c r="J44" s="160"/>
      <c r="K44" s="335"/>
      <c r="L44" s="162">
        <f t="shared" si="1"/>
        <v>0</v>
      </c>
      <c r="M44" s="335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4"/>
        <v/>
      </c>
      <c r="C45" s="157">
        <f>IF(D11="","-",+C44+1)</f>
        <v>2045</v>
      </c>
      <c r="D45" s="166">
        <f>IF(F44+SUM(E$17:E44)=D$10,F44,D$10-SUM(E$17:E44))</f>
        <v>741144.2777777788</v>
      </c>
      <c r="E45" s="164">
        <f t="shared" si="5"/>
        <v>45707.833333333336</v>
      </c>
      <c r="F45" s="163">
        <f t="shared" si="6"/>
        <v>695436.44444444543</v>
      </c>
      <c r="G45" s="165">
        <f t="shared" si="7"/>
        <v>123286.62354170872</v>
      </c>
      <c r="H45" s="147">
        <f t="shared" si="8"/>
        <v>123286.62354170872</v>
      </c>
      <c r="I45" s="160">
        <f t="shared" si="0"/>
        <v>0</v>
      </c>
      <c r="J45" s="160"/>
      <c r="K45" s="335"/>
      <c r="L45" s="162">
        <f t="shared" si="1"/>
        <v>0</v>
      </c>
      <c r="M45" s="335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4"/>
        <v/>
      </c>
      <c r="C46" s="157">
        <f>IF(D11="","-",+C45+1)</f>
        <v>2046</v>
      </c>
      <c r="D46" s="166">
        <f>IF(F45+SUM(E$17:E45)=D$10,F45,D$10-SUM(E$17:E45))</f>
        <v>695436.44444444543</v>
      </c>
      <c r="E46" s="164">
        <f t="shared" si="5"/>
        <v>45707.833333333336</v>
      </c>
      <c r="F46" s="163">
        <f t="shared" si="6"/>
        <v>649728.61111111206</v>
      </c>
      <c r="G46" s="165">
        <f t="shared" si="7"/>
        <v>118349.95919950472</v>
      </c>
      <c r="H46" s="147">
        <f t="shared" si="8"/>
        <v>118349.95919950472</v>
      </c>
      <c r="I46" s="160">
        <f t="shared" si="0"/>
        <v>0</v>
      </c>
      <c r="J46" s="160"/>
      <c r="K46" s="335"/>
      <c r="L46" s="162">
        <f t="shared" si="1"/>
        <v>0</v>
      </c>
      <c r="M46" s="335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4"/>
        <v/>
      </c>
      <c r="C47" s="157">
        <f>IF(D11="","-",+C46+1)</f>
        <v>2047</v>
      </c>
      <c r="D47" s="166">
        <f>IF(F46+SUM(E$17:E46)=D$10,F46,D$10-SUM(E$17:E46))</f>
        <v>649728.61111111206</v>
      </c>
      <c r="E47" s="164">
        <f t="shared" si="5"/>
        <v>45707.833333333336</v>
      </c>
      <c r="F47" s="163">
        <f t="shared" si="6"/>
        <v>604020.77777777868</v>
      </c>
      <c r="G47" s="165">
        <f t="shared" si="7"/>
        <v>113413.29485730073</v>
      </c>
      <c r="H47" s="147">
        <f t="shared" si="8"/>
        <v>113413.29485730073</v>
      </c>
      <c r="I47" s="160">
        <f t="shared" si="0"/>
        <v>0</v>
      </c>
      <c r="J47" s="160"/>
      <c r="K47" s="335"/>
      <c r="L47" s="162">
        <f t="shared" si="1"/>
        <v>0</v>
      </c>
      <c r="M47" s="335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4"/>
        <v/>
      </c>
      <c r="C48" s="157">
        <f>IF(D11="","-",+C47+1)</f>
        <v>2048</v>
      </c>
      <c r="D48" s="166">
        <f>IF(F47+SUM(E$17:E47)=D$10,F47,D$10-SUM(E$17:E47))</f>
        <v>604020.77777777868</v>
      </c>
      <c r="E48" s="164">
        <f t="shared" si="5"/>
        <v>45707.833333333336</v>
      </c>
      <c r="F48" s="163">
        <f t="shared" si="6"/>
        <v>558312.94444444531</v>
      </c>
      <c r="G48" s="165">
        <f t="shared" si="7"/>
        <v>108476.63051509672</v>
      </c>
      <c r="H48" s="147">
        <f t="shared" si="8"/>
        <v>108476.63051509672</v>
      </c>
      <c r="I48" s="160">
        <f t="shared" si="0"/>
        <v>0</v>
      </c>
      <c r="J48" s="160"/>
      <c r="K48" s="335"/>
      <c r="L48" s="162">
        <f t="shared" si="1"/>
        <v>0</v>
      </c>
      <c r="M48" s="335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4"/>
        <v/>
      </c>
      <c r="C49" s="157">
        <f>IF(D11="","-",+C48+1)</f>
        <v>2049</v>
      </c>
      <c r="D49" s="166">
        <f>IF(F48+SUM(E$17:E48)=D$10,F48,D$10-SUM(E$17:E48))</f>
        <v>558312.94444444531</v>
      </c>
      <c r="E49" s="164">
        <f t="shared" si="5"/>
        <v>45707.833333333336</v>
      </c>
      <c r="F49" s="163">
        <f t="shared" si="6"/>
        <v>512605.111111112</v>
      </c>
      <c r="G49" s="165">
        <f t="shared" si="7"/>
        <v>103539.96617289275</v>
      </c>
      <c r="H49" s="147">
        <f t="shared" si="8"/>
        <v>103539.96617289275</v>
      </c>
      <c r="I49" s="160">
        <f t="shared" si="0"/>
        <v>0</v>
      </c>
      <c r="J49" s="160"/>
      <c r="K49" s="335"/>
      <c r="L49" s="162">
        <f t="shared" si="1"/>
        <v>0</v>
      </c>
      <c r="M49" s="335"/>
      <c r="N49" s="162">
        <f t="shared" si="2"/>
        <v>0</v>
      </c>
      <c r="O49" s="162">
        <f t="shared" si="3"/>
        <v>0</v>
      </c>
      <c r="P49" s="4"/>
    </row>
    <row r="50" spans="2:16">
      <c r="B50" s="9" t="str">
        <f t="shared" si="4"/>
        <v/>
      </c>
      <c r="C50" s="157">
        <f>IF(D11="","-",+C49+1)</f>
        <v>2050</v>
      </c>
      <c r="D50" s="166">
        <f>IF(F49+SUM(E$17:E49)=D$10,F49,D$10-SUM(E$17:E49))</f>
        <v>512605.111111112</v>
      </c>
      <c r="E50" s="164">
        <f t="shared" si="5"/>
        <v>45707.833333333336</v>
      </c>
      <c r="F50" s="163">
        <f t="shared" si="6"/>
        <v>466897.27777777868</v>
      </c>
      <c r="G50" s="165">
        <f t="shared" si="7"/>
        <v>98603.301830688753</v>
      </c>
      <c r="H50" s="147">
        <f t="shared" si="8"/>
        <v>98603.301830688753</v>
      </c>
      <c r="I50" s="160">
        <f t="shared" si="0"/>
        <v>0</v>
      </c>
      <c r="J50" s="160"/>
      <c r="K50" s="335"/>
      <c r="L50" s="162">
        <f t="shared" si="1"/>
        <v>0</v>
      </c>
      <c r="M50" s="335"/>
      <c r="N50" s="162">
        <f t="shared" si="2"/>
        <v>0</v>
      </c>
      <c r="O50" s="162">
        <f t="shared" si="3"/>
        <v>0</v>
      </c>
      <c r="P50" s="4"/>
    </row>
    <row r="51" spans="2:16">
      <c r="B51" s="9" t="str">
        <f t="shared" si="4"/>
        <v/>
      </c>
      <c r="C51" s="157">
        <f>IF(D11="","-",+C50+1)</f>
        <v>2051</v>
      </c>
      <c r="D51" s="166">
        <f>IF(F50+SUM(E$17:E50)=D$10,F50,D$10-SUM(E$17:E50))</f>
        <v>466897.27777777868</v>
      </c>
      <c r="E51" s="164">
        <f t="shared" si="5"/>
        <v>45707.833333333336</v>
      </c>
      <c r="F51" s="163">
        <f t="shared" si="6"/>
        <v>421189.44444444537</v>
      </c>
      <c r="G51" s="165">
        <f t="shared" si="7"/>
        <v>93666.637488484776</v>
      </c>
      <c r="H51" s="147">
        <f t="shared" si="8"/>
        <v>93666.637488484776</v>
      </c>
      <c r="I51" s="160">
        <f t="shared" si="0"/>
        <v>0</v>
      </c>
      <c r="J51" s="160"/>
      <c r="K51" s="335"/>
      <c r="L51" s="162">
        <f t="shared" si="1"/>
        <v>0</v>
      </c>
      <c r="M51" s="335"/>
      <c r="N51" s="162">
        <f t="shared" si="2"/>
        <v>0</v>
      </c>
      <c r="O51" s="162">
        <f t="shared" si="3"/>
        <v>0</v>
      </c>
      <c r="P51" s="4"/>
    </row>
    <row r="52" spans="2:16">
      <c r="B52" s="9" t="str">
        <f t="shared" si="4"/>
        <v/>
      </c>
      <c r="C52" s="157">
        <f>IF(D11="","-",+C51+1)</f>
        <v>2052</v>
      </c>
      <c r="D52" s="166">
        <f>IF(F51+SUM(E$17:E51)=D$10,F51,D$10-SUM(E$17:E51))</f>
        <v>421189.44444444537</v>
      </c>
      <c r="E52" s="164">
        <f t="shared" si="5"/>
        <v>45707.833333333336</v>
      </c>
      <c r="F52" s="163">
        <f t="shared" si="6"/>
        <v>375481.61111111206</v>
      </c>
      <c r="G52" s="165">
        <f t="shared" si="7"/>
        <v>88729.973146280783</v>
      </c>
      <c r="H52" s="147">
        <f t="shared" si="8"/>
        <v>88729.973146280783</v>
      </c>
      <c r="I52" s="160">
        <f t="shared" si="0"/>
        <v>0</v>
      </c>
      <c r="J52" s="160"/>
      <c r="K52" s="335"/>
      <c r="L52" s="162">
        <f t="shared" si="1"/>
        <v>0</v>
      </c>
      <c r="M52" s="335"/>
      <c r="N52" s="162">
        <f t="shared" si="2"/>
        <v>0</v>
      </c>
      <c r="O52" s="162">
        <f t="shared" si="3"/>
        <v>0</v>
      </c>
      <c r="P52" s="4"/>
    </row>
    <row r="53" spans="2:16">
      <c r="B53" s="9" t="str">
        <f t="shared" si="4"/>
        <v/>
      </c>
      <c r="C53" s="157">
        <f>IF(D11="","-",+C52+1)</f>
        <v>2053</v>
      </c>
      <c r="D53" s="166">
        <f>IF(F52+SUM(E$17:E52)=D$10,F52,D$10-SUM(E$17:E52))</f>
        <v>375481.61111111206</v>
      </c>
      <c r="E53" s="164">
        <f t="shared" si="5"/>
        <v>45707.833333333336</v>
      </c>
      <c r="F53" s="163">
        <f t="shared" si="6"/>
        <v>329773.77777777874</v>
      </c>
      <c r="G53" s="165">
        <f t="shared" si="7"/>
        <v>83793.308804076805</v>
      </c>
      <c r="H53" s="147">
        <f t="shared" si="8"/>
        <v>83793.308804076805</v>
      </c>
      <c r="I53" s="160">
        <f t="shared" si="0"/>
        <v>0</v>
      </c>
      <c r="J53" s="160"/>
      <c r="K53" s="335"/>
      <c r="L53" s="162">
        <f t="shared" si="1"/>
        <v>0</v>
      </c>
      <c r="M53" s="335"/>
      <c r="N53" s="162">
        <f t="shared" si="2"/>
        <v>0</v>
      </c>
      <c r="O53" s="162">
        <f t="shared" si="3"/>
        <v>0</v>
      </c>
      <c r="P53" s="4"/>
    </row>
    <row r="54" spans="2:16">
      <c r="B54" s="9" t="str">
        <f t="shared" si="4"/>
        <v/>
      </c>
      <c r="C54" s="157">
        <f>IF(D11="","-",+C53+1)</f>
        <v>2054</v>
      </c>
      <c r="D54" s="166">
        <f>IF(F53+SUM(E$17:E53)=D$10,F53,D$10-SUM(E$17:E53))</f>
        <v>329773.77777777874</v>
      </c>
      <c r="E54" s="164">
        <f t="shared" si="5"/>
        <v>45707.833333333336</v>
      </c>
      <c r="F54" s="163">
        <f t="shared" si="6"/>
        <v>284065.94444444543</v>
      </c>
      <c r="G54" s="165">
        <f t="shared" si="7"/>
        <v>78856.644461872813</v>
      </c>
      <c r="H54" s="147">
        <f t="shared" si="8"/>
        <v>78856.644461872813</v>
      </c>
      <c r="I54" s="160">
        <f t="shared" si="0"/>
        <v>0</v>
      </c>
      <c r="J54" s="160"/>
      <c r="K54" s="335"/>
      <c r="L54" s="162">
        <f t="shared" si="1"/>
        <v>0</v>
      </c>
      <c r="M54" s="335"/>
      <c r="N54" s="162">
        <f t="shared" si="2"/>
        <v>0</v>
      </c>
      <c r="O54" s="162">
        <f t="shared" si="3"/>
        <v>0</v>
      </c>
      <c r="P54" s="4"/>
    </row>
    <row r="55" spans="2:16">
      <c r="B55" s="9" t="str">
        <f t="shared" si="4"/>
        <v/>
      </c>
      <c r="C55" s="157">
        <f>IF(D11="","-",+C54+1)</f>
        <v>2055</v>
      </c>
      <c r="D55" s="166">
        <f>IF(F54+SUM(E$17:E54)=D$10,F54,D$10-SUM(E$17:E54))</f>
        <v>284065.94444444543</v>
      </c>
      <c r="E55" s="164">
        <f t="shared" si="5"/>
        <v>45707.833333333336</v>
      </c>
      <c r="F55" s="163">
        <f t="shared" si="6"/>
        <v>238358.11111111208</v>
      </c>
      <c r="G55" s="165">
        <f t="shared" si="7"/>
        <v>73919.98011966882</v>
      </c>
      <c r="H55" s="147">
        <f t="shared" si="8"/>
        <v>73919.98011966882</v>
      </c>
      <c r="I55" s="160">
        <f t="shared" si="0"/>
        <v>0</v>
      </c>
      <c r="J55" s="160"/>
      <c r="K55" s="335"/>
      <c r="L55" s="162">
        <f t="shared" si="1"/>
        <v>0</v>
      </c>
      <c r="M55" s="335"/>
      <c r="N55" s="162">
        <f t="shared" si="2"/>
        <v>0</v>
      </c>
      <c r="O55" s="162">
        <f t="shared" si="3"/>
        <v>0</v>
      </c>
      <c r="P55" s="4"/>
    </row>
    <row r="56" spans="2:16">
      <c r="B56" s="9" t="str">
        <f t="shared" si="4"/>
        <v/>
      </c>
      <c r="C56" s="157">
        <f>IF(D11="","-",+C55+1)</f>
        <v>2056</v>
      </c>
      <c r="D56" s="166">
        <f>IF(F55+SUM(E$17:E55)=D$10,F55,D$10-SUM(E$17:E55))</f>
        <v>238358.11111111208</v>
      </c>
      <c r="E56" s="164">
        <f t="shared" si="5"/>
        <v>45707.833333333336</v>
      </c>
      <c r="F56" s="163">
        <f t="shared" si="6"/>
        <v>192650.27777777874</v>
      </c>
      <c r="G56" s="165">
        <f t="shared" si="7"/>
        <v>68983.315777464828</v>
      </c>
      <c r="H56" s="147">
        <f t="shared" si="8"/>
        <v>68983.315777464828</v>
      </c>
      <c r="I56" s="160">
        <f t="shared" si="0"/>
        <v>0</v>
      </c>
      <c r="J56" s="160"/>
      <c r="K56" s="335"/>
      <c r="L56" s="162">
        <f t="shared" si="1"/>
        <v>0</v>
      </c>
      <c r="M56" s="335"/>
      <c r="N56" s="162">
        <f t="shared" si="2"/>
        <v>0</v>
      </c>
      <c r="O56" s="162">
        <f t="shared" si="3"/>
        <v>0</v>
      </c>
      <c r="P56" s="4"/>
    </row>
    <row r="57" spans="2:16">
      <c r="B57" s="9" t="str">
        <f t="shared" si="4"/>
        <v/>
      </c>
      <c r="C57" s="157">
        <f>IF(D11="","-",+C56+1)</f>
        <v>2057</v>
      </c>
      <c r="D57" s="166">
        <f>IF(F56+SUM(E$17:E56)=D$10,F56,D$10-SUM(E$17:E56))</f>
        <v>192650.27777777874</v>
      </c>
      <c r="E57" s="164">
        <f t="shared" si="5"/>
        <v>45707.833333333336</v>
      </c>
      <c r="F57" s="163">
        <f t="shared" si="6"/>
        <v>146942.4444444454</v>
      </c>
      <c r="G57" s="165">
        <f t="shared" si="7"/>
        <v>64046.651435260843</v>
      </c>
      <c r="H57" s="147">
        <f t="shared" si="8"/>
        <v>64046.651435260843</v>
      </c>
      <c r="I57" s="160">
        <f t="shared" si="0"/>
        <v>0</v>
      </c>
      <c r="J57" s="160"/>
      <c r="K57" s="335"/>
      <c r="L57" s="162">
        <f t="shared" si="1"/>
        <v>0</v>
      </c>
      <c r="M57" s="335"/>
      <c r="N57" s="162">
        <f t="shared" si="2"/>
        <v>0</v>
      </c>
      <c r="O57" s="162">
        <f t="shared" si="3"/>
        <v>0</v>
      </c>
      <c r="P57" s="4"/>
    </row>
    <row r="58" spans="2:16">
      <c r="B58" s="9" t="str">
        <f t="shared" si="4"/>
        <v/>
      </c>
      <c r="C58" s="157">
        <f>IF(D11="","-",+C57+1)</f>
        <v>2058</v>
      </c>
      <c r="D58" s="166">
        <f>IF(F57+SUM(E$17:E57)=D$10,F57,D$10-SUM(E$17:E57))</f>
        <v>146942.4444444454</v>
      </c>
      <c r="E58" s="164">
        <f t="shared" si="5"/>
        <v>45707.833333333336</v>
      </c>
      <c r="F58" s="163">
        <f t="shared" si="6"/>
        <v>101234.61111111206</v>
      </c>
      <c r="G58" s="165">
        <f t="shared" si="7"/>
        <v>59109.987093056858</v>
      </c>
      <c r="H58" s="147">
        <f t="shared" si="8"/>
        <v>59109.987093056858</v>
      </c>
      <c r="I58" s="160">
        <f t="shared" si="0"/>
        <v>0</v>
      </c>
      <c r="J58" s="160"/>
      <c r="K58" s="335"/>
      <c r="L58" s="162">
        <f t="shared" si="1"/>
        <v>0</v>
      </c>
      <c r="M58" s="335"/>
      <c r="N58" s="162">
        <f t="shared" si="2"/>
        <v>0</v>
      </c>
      <c r="O58" s="162">
        <f t="shared" si="3"/>
        <v>0</v>
      </c>
      <c r="P58" s="4"/>
    </row>
    <row r="59" spans="2:16">
      <c r="B59" s="9" t="str">
        <f t="shared" si="4"/>
        <v/>
      </c>
      <c r="C59" s="157">
        <f>IF(D11="","-",+C58+1)</f>
        <v>2059</v>
      </c>
      <c r="D59" s="166">
        <f>IF(F58+SUM(E$17:E58)=D$10,F58,D$10-SUM(E$17:E58))</f>
        <v>101234.61111111206</v>
      </c>
      <c r="E59" s="164">
        <f t="shared" si="5"/>
        <v>45707.833333333336</v>
      </c>
      <c r="F59" s="163">
        <f t="shared" si="6"/>
        <v>55526.77777777872</v>
      </c>
      <c r="G59" s="165">
        <f t="shared" si="7"/>
        <v>54173.322750852865</v>
      </c>
      <c r="H59" s="147">
        <f t="shared" si="8"/>
        <v>54173.322750852865</v>
      </c>
      <c r="I59" s="160">
        <f t="shared" si="0"/>
        <v>0</v>
      </c>
      <c r="J59" s="160"/>
      <c r="K59" s="335"/>
      <c r="L59" s="162">
        <f t="shared" si="1"/>
        <v>0</v>
      </c>
      <c r="M59" s="335"/>
      <c r="N59" s="162">
        <f t="shared" si="2"/>
        <v>0</v>
      </c>
      <c r="O59" s="162">
        <f t="shared" si="3"/>
        <v>0</v>
      </c>
      <c r="P59" s="4"/>
    </row>
    <row r="60" spans="2:16">
      <c r="B60" s="9" t="str">
        <f t="shared" si="4"/>
        <v/>
      </c>
      <c r="C60" s="157">
        <f>IF(D11="","-",+C59+1)</f>
        <v>2060</v>
      </c>
      <c r="D60" s="166">
        <f>IF(F59+SUM(E$17:E59)=D$10,F59,D$10-SUM(E$17:E59))</f>
        <v>55526.77777777872</v>
      </c>
      <c r="E60" s="164">
        <f t="shared" si="5"/>
        <v>45707.833333333336</v>
      </c>
      <c r="F60" s="163">
        <f t="shared" si="6"/>
        <v>9818.9444444453839</v>
      </c>
      <c r="G60" s="165">
        <f t="shared" si="7"/>
        <v>49236.65840864888</v>
      </c>
      <c r="H60" s="147">
        <f t="shared" si="8"/>
        <v>49236.65840864888</v>
      </c>
      <c r="I60" s="160">
        <f t="shared" si="0"/>
        <v>0</v>
      </c>
      <c r="J60" s="160"/>
      <c r="K60" s="335"/>
      <c r="L60" s="162">
        <f t="shared" si="1"/>
        <v>0</v>
      </c>
      <c r="M60" s="335"/>
      <c r="N60" s="162">
        <f t="shared" si="2"/>
        <v>0</v>
      </c>
      <c r="O60" s="162">
        <f t="shared" si="3"/>
        <v>0</v>
      </c>
      <c r="P60" s="4"/>
    </row>
    <row r="61" spans="2:16">
      <c r="B61" s="9" t="str">
        <f t="shared" si="4"/>
        <v/>
      </c>
      <c r="C61" s="157">
        <f>IF(D11="","-",+C60+1)</f>
        <v>2061</v>
      </c>
      <c r="D61" s="166">
        <f>IF(F60+SUM(E$17:E60)=D$10,F60,D$10-SUM(E$17:E60))</f>
        <v>9818.9444444453839</v>
      </c>
      <c r="E61" s="164">
        <f t="shared" si="5"/>
        <v>9818.9444444453839</v>
      </c>
      <c r="F61" s="163">
        <f t="shared" si="6"/>
        <v>0</v>
      </c>
      <c r="G61" s="165">
        <f t="shared" si="7"/>
        <v>10349.190896552158</v>
      </c>
      <c r="H61" s="147">
        <f t="shared" si="8"/>
        <v>10349.190896552158</v>
      </c>
      <c r="I61" s="160">
        <f t="shared" si="0"/>
        <v>0</v>
      </c>
      <c r="J61" s="160"/>
      <c r="K61" s="335"/>
      <c r="L61" s="162">
        <f t="shared" si="1"/>
        <v>0</v>
      </c>
      <c r="M61" s="335"/>
      <c r="N61" s="162">
        <f t="shared" si="2"/>
        <v>0</v>
      </c>
      <c r="O61" s="162">
        <f t="shared" si="3"/>
        <v>0</v>
      </c>
      <c r="P61" s="4"/>
    </row>
    <row r="62" spans="2:16">
      <c r="B62" s="9" t="str">
        <f t="shared" si="4"/>
        <v/>
      </c>
      <c r="C62" s="157">
        <f>IF(D11="","-",+C61+1)</f>
        <v>2062</v>
      </c>
      <c r="D62" s="166">
        <f>IF(F61+SUM(E$17:E61)=D$10,F61,D$10-SUM(E$17:E61))</f>
        <v>0</v>
      </c>
      <c r="E62" s="164">
        <f t="shared" si="5"/>
        <v>0</v>
      </c>
      <c r="F62" s="163">
        <f t="shared" si="6"/>
        <v>0</v>
      </c>
      <c r="G62" s="165">
        <f t="shared" si="7"/>
        <v>0</v>
      </c>
      <c r="H62" s="147">
        <f t="shared" si="8"/>
        <v>0</v>
      </c>
      <c r="I62" s="160">
        <f t="shared" si="0"/>
        <v>0</v>
      </c>
      <c r="J62" s="160"/>
      <c r="K62" s="335"/>
      <c r="L62" s="162">
        <f t="shared" si="1"/>
        <v>0</v>
      </c>
      <c r="M62" s="335"/>
      <c r="N62" s="162">
        <f t="shared" si="2"/>
        <v>0</v>
      </c>
      <c r="O62" s="162">
        <f t="shared" si="3"/>
        <v>0</v>
      </c>
      <c r="P62" s="4"/>
    </row>
    <row r="63" spans="2:16">
      <c r="B63" s="9" t="str">
        <f t="shared" si="4"/>
        <v/>
      </c>
      <c r="C63" s="157">
        <f>IF(D11="","-",+C62+1)</f>
        <v>2063</v>
      </c>
      <c r="D63" s="166">
        <f>IF(F62+SUM(E$17:E62)=D$10,F62,D$10-SUM(E$17:E62))</f>
        <v>0</v>
      </c>
      <c r="E63" s="164">
        <f t="shared" si="5"/>
        <v>0</v>
      </c>
      <c r="F63" s="163">
        <f t="shared" si="6"/>
        <v>0</v>
      </c>
      <c r="G63" s="165">
        <f t="shared" si="7"/>
        <v>0</v>
      </c>
      <c r="H63" s="147">
        <f t="shared" si="8"/>
        <v>0</v>
      </c>
      <c r="I63" s="160">
        <f t="shared" si="0"/>
        <v>0</v>
      </c>
      <c r="J63" s="160"/>
      <c r="K63" s="335"/>
      <c r="L63" s="162">
        <f t="shared" si="1"/>
        <v>0</v>
      </c>
      <c r="M63" s="335"/>
      <c r="N63" s="162">
        <f t="shared" si="2"/>
        <v>0</v>
      </c>
      <c r="O63" s="162">
        <f t="shared" si="3"/>
        <v>0</v>
      </c>
      <c r="P63" s="4"/>
    </row>
    <row r="64" spans="2:16">
      <c r="B64" s="9" t="str">
        <f t="shared" si="4"/>
        <v/>
      </c>
      <c r="C64" s="157">
        <f>IF(D11="","-",+C63+1)</f>
        <v>2064</v>
      </c>
      <c r="D64" s="166">
        <f>IF(F63+SUM(E$17:E63)=D$10,F63,D$10-SUM(E$17:E63))</f>
        <v>0</v>
      </c>
      <c r="E64" s="164">
        <f t="shared" si="5"/>
        <v>0</v>
      </c>
      <c r="F64" s="163">
        <f t="shared" si="6"/>
        <v>0</v>
      </c>
      <c r="G64" s="165">
        <f t="shared" si="7"/>
        <v>0</v>
      </c>
      <c r="H64" s="147">
        <f t="shared" si="8"/>
        <v>0</v>
      </c>
      <c r="I64" s="160">
        <f t="shared" si="0"/>
        <v>0</v>
      </c>
      <c r="J64" s="160"/>
      <c r="K64" s="335"/>
      <c r="L64" s="162">
        <f t="shared" si="1"/>
        <v>0</v>
      </c>
      <c r="M64" s="335"/>
      <c r="N64" s="162">
        <f t="shared" si="2"/>
        <v>0</v>
      </c>
      <c r="O64" s="162">
        <f t="shared" si="3"/>
        <v>0</v>
      </c>
      <c r="P64" s="4"/>
    </row>
    <row r="65" spans="2:16">
      <c r="B65" s="9" t="str">
        <f t="shared" si="4"/>
        <v/>
      </c>
      <c r="C65" s="157">
        <f>IF(D11="","-",+C64+1)</f>
        <v>2065</v>
      </c>
      <c r="D65" s="166">
        <f>IF(F64+SUM(E$17:E64)=D$10,F64,D$10-SUM(E$17:E64))</f>
        <v>0</v>
      </c>
      <c r="E65" s="164">
        <f t="shared" si="5"/>
        <v>0</v>
      </c>
      <c r="F65" s="163">
        <f t="shared" si="6"/>
        <v>0</v>
      </c>
      <c r="G65" s="165">
        <f t="shared" si="7"/>
        <v>0</v>
      </c>
      <c r="H65" s="147">
        <f t="shared" si="8"/>
        <v>0</v>
      </c>
      <c r="I65" s="160">
        <f t="shared" si="0"/>
        <v>0</v>
      </c>
      <c r="J65" s="160"/>
      <c r="K65" s="335"/>
      <c r="L65" s="162">
        <f t="shared" si="1"/>
        <v>0</v>
      </c>
      <c r="M65" s="335"/>
      <c r="N65" s="162">
        <f t="shared" si="2"/>
        <v>0</v>
      </c>
      <c r="O65" s="162">
        <f t="shared" si="3"/>
        <v>0</v>
      </c>
      <c r="P65" s="4"/>
    </row>
    <row r="66" spans="2:16">
      <c r="B66" s="9" t="str">
        <f t="shared" si="4"/>
        <v/>
      </c>
      <c r="C66" s="157">
        <f>IF(D11="","-",+C65+1)</f>
        <v>2066</v>
      </c>
      <c r="D66" s="166">
        <f>IF(F65+SUM(E$17:E65)=D$10,F65,D$10-SUM(E$17:E65))</f>
        <v>0</v>
      </c>
      <c r="E66" s="164">
        <f t="shared" si="5"/>
        <v>0</v>
      </c>
      <c r="F66" s="163">
        <f t="shared" si="6"/>
        <v>0</v>
      </c>
      <c r="G66" s="165">
        <f t="shared" si="7"/>
        <v>0</v>
      </c>
      <c r="H66" s="147">
        <f t="shared" si="8"/>
        <v>0</v>
      </c>
      <c r="I66" s="160">
        <f t="shared" si="0"/>
        <v>0</v>
      </c>
      <c r="J66" s="160"/>
      <c r="K66" s="335"/>
      <c r="L66" s="162">
        <f t="shared" si="1"/>
        <v>0</v>
      </c>
      <c r="M66" s="335"/>
      <c r="N66" s="162">
        <f t="shared" si="2"/>
        <v>0</v>
      </c>
      <c r="O66" s="162">
        <f t="shared" si="3"/>
        <v>0</v>
      </c>
      <c r="P66" s="4"/>
    </row>
    <row r="67" spans="2:16">
      <c r="B67" s="9" t="str">
        <f t="shared" si="4"/>
        <v/>
      </c>
      <c r="C67" s="157">
        <f>IF(D11="","-",+C66+1)</f>
        <v>2067</v>
      </c>
      <c r="D67" s="166">
        <f>IF(F66+SUM(E$17:E66)=D$10,F66,D$10-SUM(E$17:E66))</f>
        <v>0</v>
      </c>
      <c r="E67" s="164">
        <f t="shared" si="5"/>
        <v>0</v>
      </c>
      <c r="F67" s="163">
        <f t="shared" si="6"/>
        <v>0</v>
      </c>
      <c r="G67" s="165">
        <f t="shared" si="7"/>
        <v>0</v>
      </c>
      <c r="H67" s="147">
        <f t="shared" si="8"/>
        <v>0</v>
      </c>
      <c r="I67" s="160">
        <f t="shared" si="0"/>
        <v>0</v>
      </c>
      <c r="J67" s="160"/>
      <c r="K67" s="335"/>
      <c r="L67" s="162">
        <f t="shared" si="1"/>
        <v>0</v>
      </c>
      <c r="M67" s="335"/>
      <c r="N67" s="162">
        <f t="shared" si="2"/>
        <v>0</v>
      </c>
      <c r="O67" s="162">
        <f t="shared" si="3"/>
        <v>0</v>
      </c>
      <c r="P67" s="4"/>
    </row>
    <row r="68" spans="2:16">
      <c r="B68" s="9" t="str">
        <f t="shared" si="4"/>
        <v/>
      </c>
      <c r="C68" s="157">
        <f>IF(D11="","-",+C67+1)</f>
        <v>2068</v>
      </c>
      <c r="D68" s="166">
        <f>IF(F67+SUM(E$17:E67)=D$10,F67,D$10-SUM(E$17:E67))</f>
        <v>0</v>
      </c>
      <c r="E68" s="164">
        <f t="shared" si="5"/>
        <v>0</v>
      </c>
      <c r="F68" s="163">
        <f t="shared" si="6"/>
        <v>0</v>
      </c>
      <c r="G68" s="165">
        <f t="shared" si="7"/>
        <v>0</v>
      </c>
      <c r="H68" s="147">
        <f t="shared" si="8"/>
        <v>0</v>
      </c>
      <c r="I68" s="160">
        <f t="shared" si="0"/>
        <v>0</v>
      </c>
      <c r="J68" s="160"/>
      <c r="K68" s="335"/>
      <c r="L68" s="162">
        <f t="shared" si="1"/>
        <v>0</v>
      </c>
      <c r="M68" s="335"/>
      <c r="N68" s="162">
        <f t="shared" si="2"/>
        <v>0</v>
      </c>
      <c r="O68" s="162">
        <f t="shared" si="3"/>
        <v>0</v>
      </c>
      <c r="P68" s="4"/>
    </row>
    <row r="69" spans="2:16">
      <c r="B69" s="9" t="str">
        <f t="shared" si="4"/>
        <v/>
      </c>
      <c r="C69" s="157">
        <f>IF(D11="","-",+C68+1)</f>
        <v>2069</v>
      </c>
      <c r="D69" s="166">
        <f>IF(F68+SUM(E$17:E68)=D$10,F68,D$10-SUM(E$17:E68))</f>
        <v>0</v>
      </c>
      <c r="E69" s="164">
        <f t="shared" si="5"/>
        <v>0</v>
      </c>
      <c r="F69" s="163">
        <f t="shared" si="6"/>
        <v>0</v>
      </c>
      <c r="G69" s="165">
        <f t="shared" si="7"/>
        <v>0</v>
      </c>
      <c r="H69" s="147">
        <f t="shared" si="8"/>
        <v>0</v>
      </c>
      <c r="I69" s="160">
        <f t="shared" si="0"/>
        <v>0</v>
      </c>
      <c r="J69" s="160"/>
      <c r="K69" s="335"/>
      <c r="L69" s="162">
        <f t="shared" si="1"/>
        <v>0</v>
      </c>
      <c r="M69" s="335"/>
      <c r="N69" s="162">
        <f t="shared" si="2"/>
        <v>0</v>
      </c>
      <c r="O69" s="162">
        <f t="shared" si="3"/>
        <v>0</v>
      </c>
      <c r="P69" s="4"/>
    </row>
    <row r="70" spans="2:16">
      <c r="B70" s="9" t="str">
        <f t="shared" si="4"/>
        <v/>
      </c>
      <c r="C70" s="157">
        <f>IF(D11="","-",+C69+1)</f>
        <v>2070</v>
      </c>
      <c r="D70" s="166">
        <f>IF(F69+SUM(E$17:E69)=D$10,F69,D$10-SUM(E$17:E69))</f>
        <v>0</v>
      </c>
      <c r="E70" s="164">
        <f t="shared" si="5"/>
        <v>0</v>
      </c>
      <c r="F70" s="163">
        <f t="shared" si="6"/>
        <v>0</v>
      </c>
      <c r="G70" s="165">
        <f t="shared" si="7"/>
        <v>0</v>
      </c>
      <c r="H70" s="147">
        <f t="shared" si="8"/>
        <v>0</v>
      </c>
      <c r="I70" s="160">
        <f t="shared" si="0"/>
        <v>0</v>
      </c>
      <c r="J70" s="160"/>
      <c r="K70" s="335"/>
      <c r="L70" s="162">
        <f t="shared" si="1"/>
        <v>0</v>
      </c>
      <c r="M70" s="335"/>
      <c r="N70" s="162">
        <f t="shared" si="2"/>
        <v>0</v>
      </c>
      <c r="O70" s="162">
        <f t="shared" si="3"/>
        <v>0</v>
      </c>
      <c r="P70" s="4"/>
    </row>
    <row r="71" spans="2:16">
      <c r="B71" s="9" t="str">
        <f t="shared" si="4"/>
        <v/>
      </c>
      <c r="C71" s="157">
        <f>IF(D11="","-",+C70+1)</f>
        <v>2071</v>
      </c>
      <c r="D71" s="166">
        <f>IF(F70+SUM(E$17:E70)=D$10,F70,D$10-SUM(E$17:E70))</f>
        <v>0</v>
      </c>
      <c r="E71" s="164">
        <f t="shared" si="5"/>
        <v>0</v>
      </c>
      <c r="F71" s="163">
        <f t="shared" si="6"/>
        <v>0</v>
      </c>
      <c r="G71" s="165">
        <f t="shared" si="7"/>
        <v>0</v>
      </c>
      <c r="H71" s="147">
        <f t="shared" si="8"/>
        <v>0</v>
      </c>
      <c r="I71" s="160">
        <f t="shared" si="0"/>
        <v>0</v>
      </c>
      <c r="J71" s="160"/>
      <c r="K71" s="335"/>
      <c r="L71" s="162">
        <f t="shared" si="1"/>
        <v>0</v>
      </c>
      <c r="M71" s="335"/>
      <c r="N71" s="162">
        <f t="shared" si="2"/>
        <v>0</v>
      </c>
      <c r="O71" s="162">
        <f t="shared" si="3"/>
        <v>0</v>
      </c>
      <c r="P71" s="4"/>
    </row>
    <row r="72" spans="2:16" ht="13.5" thickBot="1">
      <c r="B72" s="9" t="str">
        <f t="shared" si="4"/>
        <v/>
      </c>
      <c r="C72" s="168">
        <f>IF(D11="","-",+C71+1)</f>
        <v>2072</v>
      </c>
      <c r="D72" s="462">
        <f>IF(F71+SUM(E$17:E71)=D$10,F71,D$10-SUM(E$17:E71))</f>
        <v>0</v>
      </c>
      <c r="E72" s="170">
        <f t="shared" si="5"/>
        <v>0</v>
      </c>
      <c r="F72" s="169">
        <f t="shared" si="6"/>
        <v>0</v>
      </c>
      <c r="G72" s="377">
        <f t="shared" si="7"/>
        <v>0</v>
      </c>
      <c r="H72" s="130">
        <f t="shared" si="8"/>
        <v>0</v>
      </c>
      <c r="I72" s="172">
        <f t="shared" si="0"/>
        <v>0</v>
      </c>
      <c r="J72" s="160"/>
      <c r="K72" s="336"/>
      <c r="L72" s="173">
        <f t="shared" si="1"/>
        <v>0</v>
      </c>
      <c r="M72" s="336"/>
      <c r="N72" s="173">
        <f t="shared" si="2"/>
        <v>0</v>
      </c>
      <c r="O72" s="173">
        <f t="shared" si="3"/>
        <v>0</v>
      </c>
      <c r="P72" s="4"/>
    </row>
    <row r="73" spans="2:16">
      <c r="C73" s="158" t="s">
        <v>72</v>
      </c>
      <c r="D73" s="115"/>
      <c r="E73" s="115">
        <f>SUM(E17:E72)</f>
        <v>1919729</v>
      </c>
      <c r="F73" s="115"/>
      <c r="G73" s="115">
        <f>SUM(G17:G72)</f>
        <v>6372019.5975054512</v>
      </c>
      <c r="H73" s="115">
        <f>SUM(H17:H72)</f>
        <v>6372019.5975054512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20 of 28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2018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87696.739331146033</v>
      </c>
      <c r="N87" s="202">
        <f>IF(J92&lt;D11,0,VLOOKUP(J92,C17:O72,11))</f>
        <v>87696.739331146033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72305.937255510624</v>
      </c>
      <c r="N88" s="204">
        <f>IF(J92&lt;D11,0,VLOOKUP(J92,C99:P154,7))</f>
        <v>72305.937255510624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Sayre 138 kV Capacitor Bank Addition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-15390.802075635409</v>
      </c>
      <c r="N89" s="207">
        <f>+N88-N87</f>
        <v>-15390.802075635409</v>
      </c>
      <c r="O89" s="208">
        <f>+O88-O87</f>
        <v>0</v>
      </c>
      <c r="P89" s="1"/>
    </row>
    <row r="90" spans="1:16" ht="13.5" thickBot="1">
      <c r="C90" s="174"/>
      <c r="D90" s="177" t="str">
        <f>D8</f>
        <v/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>
        <f>+D9</f>
        <v>0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222">
        <f>IF(D11=I10,0,D10)</f>
        <v>1919729</v>
      </c>
      <c r="E92" s="22" t="s">
        <v>89</v>
      </c>
      <c r="H92" s="139"/>
      <c r="I92" s="139"/>
      <c r="J92" s="140">
        <f>+'PSO.WS.G.BPU.ATRR.True-up'!M16</f>
        <v>2018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2018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12</v>
      </c>
      <c r="E94" s="141" t="s">
        <v>51</v>
      </c>
      <c r="F94" s="139"/>
      <c r="G94" s="139"/>
      <c r="J94" s="145">
        <f>'PSO.WS.G.BPU.ATRR.True-up'!$F$81</f>
        <v>0.10273556682691798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43</v>
      </c>
      <c r="E95" s="141" t="s">
        <v>54</v>
      </c>
      <c r="F95" s="139"/>
      <c r="G95" s="139"/>
      <c r="J95" s="145">
        <f>IF(H87="",J94,'PSO.WS.G.BPU.ATRR.True-up'!$F$80)</f>
        <v>0.10273556682691798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44645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277</v>
      </c>
      <c r="I97" s="339" t="s">
        <v>278</v>
      </c>
      <c r="J97" s="214" t="s">
        <v>93</v>
      </c>
      <c r="K97" s="216"/>
      <c r="L97" s="151" t="s">
        <v>97</v>
      </c>
      <c r="M97" s="151" t="s">
        <v>94</v>
      </c>
      <c r="N97" s="151" t="s">
        <v>97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2018</v>
      </c>
      <c r="D99" s="158">
        <v>0</v>
      </c>
      <c r="E99" s="165">
        <v>0</v>
      </c>
      <c r="F99" s="163">
        <v>1140000</v>
      </c>
      <c r="G99" s="218">
        <v>570000</v>
      </c>
      <c r="H99" s="218">
        <v>72305.937255510624</v>
      </c>
      <c r="I99" s="218">
        <v>72305.937255510624</v>
      </c>
      <c r="J99" s="162">
        <f t="shared" ref="J99:J130" si="9">+I99-H99</f>
        <v>0</v>
      </c>
      <c r="K99" s="162"/>
      <c r="L99" s="338"/>
      <c r="M99" s="439"/>
      <c r="N99" s="338"/>
      <c r="O99" s="162"/>
      <c r="P99" s="160"/>
    </row>
    <row r="100" spans="1:16">
      <c r="B100" s="9" t="str">
        <f>IF(D100=F99,"","IU")</f>
        <v>IU</v>
      </c>
      <c r="C100" s="157">
        <f>IF(D93="","-",+C99+1)</f>
        <v>2019</v>
      </c>
      <c r="D100" s="158">
        <f>IF(F99+SUM(E$99:E99)=D$92,F99,D$92-SUM(E$99:E99))</f>
        <v>1919729</v>
      </c>
      <c r="E100" s="164">
        <f>IF(+J$96&lt;F99,J$96,D100)</f>
        <v>44645</v>
      </c>
      <c r="F100" s="163">
        <f>+D100-E100</f>
        <v>1875084</v>
      </c>
      <c r="G100" s="163">
        <f>+(F100+D100)/2</f>
        <v>1897406.5</v>
      </c>
      <c r="H100" s="333">
        <f t="shared" ref="H100:H154" si="10">+J$94*G100+E100</f>
        <v>239576.13227857856</v>
      </c>
      <c r="I100" s="344">
        <f t="shared" ref="I100:I154" si="11">+J$95*G100+E100</f>
        <v>239576.13227857856</v>
      </c>
      <c r="J100" s="162">
        <f t="shared" si="9"/>
        <v>0</v>
      </c>
      <c r="K100" s="162"/>
      <c r="L100" s="335"/>
      <c r="M100" s="162">
        <f t="shared" ref="M100:M130" si="12">IF(L100&lt;&gt;0,+H100-L100,0)</f>
        <v>0</v>
      </c>
      <c r="N100" s="335"/>
      <c r="O100" s="162">
        <f t="shared" ref="O100:O130" si="13">IF(N100&lt;&gt;0,+I100-N100,0)</f>
        <v>0</v>
      </c>
      <c r="P100" s="162">
        <f t="shared" ref="P100:P130" si="14">+O100-M100</f>
        <v>0</v>
      </c>
    </row>
    <row r="101" spans="1:16">
      <c r="B101" s="9" t="str">
        <f t="shared" ref="B101:B154" si="15">IF(D101=F100,"","IU")</f>
        <v/>
      </c>
      <c r="C101" s="157">
        <f>IF(D93="","-",+C100+1)</f>
        <v>2020</v>
      </c>
      <c r="D101" s="158">
        <f>IF(F100+SUM(E$99:E100)=D$92,F100,D$92-SUM(E$99:E100))</f>
        <v>1875084</v>
      </c>
      <c r="E101" s="164">
        <f t="shared" ref="E101:E154" si="16">IF(+J$96&lt;F100,J$96,D101)</f>
        <v>44645</v>
      </c>
      <c r="F101" s="163">
        <f t="shared" ref="F101:F154" si="17">+D101-E101</f>
        <v>1830439</v>
      </c>
      <c r="G101" s="163">
        <f t="shared" ref="G101:G154" si="18">+(F101+D101)/2</f>
        <v>1852761.5</v>
      </c>
      <c r="H101" s="333">
        <f t="shared" si="10"/>
        <v>234989.50289759081</v>
      </c>
      <c r="I101" s="344">
        <f t="shared" si="11"/>
        <v>234989.50289759081</v>
      </c>
      <c r="J101" s="162">
        <f t="shared" si="9"/>
        <v>0</v>
      </c>
      <c r="K101" s="162"/>
      <c r="L101" s="335"/>
      <c r="M101" s="162">
        <f t="shared" si="12"/>
        <v>0</v>
      </c>
      <c r="N101" s="335"/>
      <c r="O101" s="162">
        <f t="shared" si="13"/>
        <v>0</v>
      </c>
      <c r="P101" s="162">
        <f t="shared" si="14"/>
        <v>0</v>
      </c>
    </row>
    <row r="102" spans="1:16">
      <c r="B102" s="9" t="str">
        <f t="shared" si="15"/>
        <v/>
      </c>
      <c r="C102" s="157">
        <f>IF(D93="","-",+C101+1)</f>
        <v>2021</v>
      </c>
      <c r="D102" s="158">
        <f>IF(F101+SUM(E$99:E101)=D$92,F101,D$92-SUM(E$99:E101))</f>
        <v>1830439</v>
      </c>
      <c r="E102" s="164">
        <f t="shared" si="16"/>
        <v>44645</v>
      </c>
      <c r="F102" s="163">
        <f t="shared" si="17"/>
        <v>1785794</v>
      </c>
      <c r="G102" s="163">
        <f t="shared" si="18"/>
        <v>1808116.5</v>
      </c>
      <c r="H102" s="333">
        <f t="shared" si="10"/>
        <v>230402.87351660305</v>
      </c>
      <c r="I102" s="344">
        <f t="shared" si="11"/>
        <v>230402.87351660305</v>
      </c>
      <c r="J102" s="162">
        <f t="shared" si="9"/>
        <v>0</v>
      </c>
      <c r="K102" s="162"/>
      <c r="L102" s="335"/>
      <c r="M102" s="162">
        <f t="shared" si="12"/>
        <v>0</v>
      </c>
      <c r="N102" s="335"/>
      <c r="O102" s="162">
        <f t="shared" si="13"/>
        <v>0</v>
      </c>
      <c r="P102" s="162">
        <f t="shared" si="14"/>
        <v>0</v>
      </c>
    </row>
    <row r="103" spans="1:16">
      <c r="B103" s="9" t="str">
        <f t="shared" si="15"/>
        <v/>
      </c>
      <c r="C103" s="157">
        <f>IF(D93="","-",+C102+1)</f>
        <v>2022</v>
      </c>
      <c r="D103" s="158">
        <f>IF(F102+SUM(E$99:E102)=D$92,F102,D$92-SUM(E$99:E102))</f>
        <v>1785794</v>
      </c>
      <c r="E103" s="164">
        <f t="shared" si="16"/>
        <v>44645</v>
      </c>
      <c r="F103" s="163">
        <f t="shared" si="17"/>
        <v>1741149</v>
      </c>
      <c r="G103" s="163">
        <f t="shared" si="18"/>
        <v>1763471.5</v>
      </c>
      <c r="H103" s="333">
        <f t="shared" si="10"/>
        <v>225816.2441356153</v>
      </c>
      <c r="I103" s="344">
        <f t="shared" si="11"/>
        <v>225816.2441356153</v>
      </c>
      <c r="J103" s="162">
        <f t="shared" si="9"/>
        <v>0</v>
      </c>
      <c r="K103" s="162"/>
      <c r="L103" s="335"/>
      <c r="M103" s="162">
        <f t="shared" si="12"/>
        <v>0</v>
      </c>
      <c r="N103" s="335"/>
      <c r="O103" s="162">
        <f t="shared" si="13"/>
        <v>0</v>
      </c>
      <c r="P103" s="162">
        <f t="shared" si="14"/>
        <v>0</v>
      </c>
    </row>
    <row r="104" spans="1:16">
      <c r="B104" s="9" t="str">
        <f t="shared" si="15"/>
        <v/>
      </c>
      <c r="C104" s="157">
        <f>IF(D93="","-",+C103+1)</f>
        <v>2023</v>
      </c>
      <c r="D104" s="158">
        <f>IF(F103+SUM(E$99:E103)=D$92,F103,D$92-SUM(E$99:E103))</f>
        <v>1741149</v>
      </c>
      <c r="E104" s="164">
        <f t="shared" si="16"/>
        <v>44645</v>
      </c>
      <c r="F104" s="163">
        <f t="shared" si="17"/>
        <v>1696504</v>
      </c>
      <c r="G104" s="163">
        <f t="shared" si="18"/>
        <v>1718826.5</v>
      </c>
      <c r="H104" s="333">
        <f t="shared" si="10"/>
        <v>221229.61475462755</v>
      </c>
      <c r="I104" s="344">
        <f t="shared" si="11"/>
        <v>221229.61475462755</v>
      </c>
      <c r="J104" s="162">
        <f t="shared" si="9"/>
        <v>0</v>
      </c>
      <c r="K104" s="162"/>
      <c r="L104" s="335"/>
      <c r="M104" s="162">
        <f t="shared" si="12"/>
        <v>0</v>
      </c>
      <c r="N104" s="335"/>
      <c r="O104" s="162">
        <f t="shared" si="13"/>
        <v>0</v>
      </c>
      <c r="P104" s="162">
        <f t="shared" si="14"/>
        <v>0</v>
      </c>
    </row>
    <row r="105" spans="1:16">
      <c r="B105" s="9" t="str">
        <f t="shared" si="15"/>
        <v/>
      </c>
      <c r="C105" s="157">
        <f>IF(D93="","-",+C104+1)</f>
        <v>2024</v>
      </c>
      <c r="D105" s="158">
        <f>IF(F104+SUM(E$99:E104)=D$92,F104,D$92-SUM(E$99:E104))</f>
        <v>1696504</v>
      </c>
      <c r="E105" s="164">
        <f t="shared" si="16"/>
        <v>44645</v>
      </c>
      <c r="F105" s="163">
        <f t="shared" si="17"/>
        <v>1651859</v>
      </c>
      <c r="G105" s="163">
        <f t="shared" si="18"/>
        <v>1674181.5</v>
      </c>
      <c r="H105" s="333">
        <f t="shared" si="10"/>
        <v>216642.98537363979</v>
      </c>
      <c r="I105" s="344">
        <f t="shared" si="11"/>
        <v>216642.98537363979</v>
      </c>
      <c r="J105" s="162">
        <f t="shared" si="9"/>
        <v>0</v>
      </c>
      <c r="K105" s="162"/>
      <c r="L105" s="335"/>
      <c r="M105" s="162">
        <f t="shared" si="12"/>
        <v>0</v>
      </c>
      <c r="N105" s="335"/>
      <c r="O105" s="162">
        <f t="shared" si="13"/>
        <v>0</v>
      </c>
      <c r="P105" s="162">
        <f t="shared" si="14"/>
        <v>0</v>
      </c>
    </row>
    <row r="106" spans="1:16">
      <c r="B106" s="9" t="str">
        <f t="shared" si="15"/>
        <v/>
      </c>
      <c r="C106" s="157">
        <f>IF(D93="","-",+C105+1)</f>
        <v>2025</v>
      </c>
      <c r="D106" s="158">
        <f>IF(F105+SUM(E$99:E105)=D$92,F105,D$92-SUM(E$99:E105))</f>
        <v>1651859</v>
      </c>
      <c r="E106" s="164">
        <f t="shared" si="16"/>
        <v>44645</v>
      </c>
      <c r="F106" s="163">
        <f t="shared" si="17"/>
        <v>1607214</v>
      </c>
      <c r="G106" s="163">
        <f t="shared" si="18"/>
        <v>1629536.5</v>
      </c>
      <c r="H106" s="333">
        <f t="shared" si="10"/>
        <v>212056.35599265204</v>
      </c>
      <c r="I106" s="344">
        <f t="shared" si="11"/>
        <v>212056.35599265204</v>
      </c>
      <c r="J106" s="162">
        <f t="shared" si="9"/>
        <v>0</v>
      </c>
      <c r="K106" s="162"/>
      <c r="L106" s="335"/>
      <c r="M106" s="162">
        <f t="shared" si="12"/>
        <v>0</v>
      </c>
      <c r="N106" s="335"/>
      <c r="O106" s="162">
        <f t="shared" si="13"/>
        <v>0</v>
      </c>
      <c r="P106" s="162">
        <f t="shared" si="14"/>
        <v>0</v>
      </c>
    </row>
    <row r="107" spans="1:16">
      <c r="B107" s="9" t="str">
        <f t="shared" si="15"/>
        <v/>
      </c>
      <c r="C107" s="157">
        <f>IF(D93="","-",+C106+1)</f>
        <v>2026</v>
      </c>
      <c r="D107" s="158">
        <f>IF(F106+SUM(E$99:E106)=D$92,F106,D$92-SUM(E$99:E106))</f>
        <v>1607214</v>
      </c>
      <c r="E107" s="164">
        <f t="shared" si="16"/>
        <v>44645</v>
      </c>
      <c r="F107" s="163">
        <f t="shared" si="17"/>
        <v>1562569</v>
      </c>
      <c r="G107" s="163">
        <f t="shared" si="18"/>
        <v>1584891.5</v>
      </c>
      <c r="H107" s="333">
        <f t="shared" si="10"/>
        <v>207469.72661166429</v>
      </c>
      <c r="I107" s="344">
        <f t="shared" si="11"/>
        <v>207469.72661166429</v>
      </c>
      <c r="J107" s="162">
        <f t="shared" si="9"/>
        <v>0</v>
      </c>
      <c r="K107" s="162"/>
      <c r="L107" s="335"/>
      <c r="M107" s="162">
        <f t="shared" si="12"/>
        <v>0</v>
      </c>
      <c r="N107" s="335"/>
      <c r="O107" s="162">
        <f t="shared" si="13"/>
        <v>0</v>
      </c>
      <c r="P107" s="162">
        <f t="shared" si="14"/>
        <v>0</v>
      </c>
    </row>
    <row r="108" spans="1:16">
      <c r="B108" s="9" t="str">
        <f t="shared" si="15"/>
        <v/>
      </c>
      <c r="C108" s="157">
        <f>IF(D93="","-",+C107+1)</f>
        <v>2027</v>
      </c>
      <c r="D108" s="158">
        <f>IF(F107+SUM(E$99:E107)=D$92,F107,D$92-SUM(E$99:E107))</f>
        <v>1562569</v>
      </c>
      <c r="E108" s="164">
        <f t="shared" si="16"/>
        <v>44645</v>
      </c>
      <c r="F108" s="163">
        <f t="shared" si="17"/>
        <v>1517924</v>
      </c>
      <c r="G108" s="163">
        <f t="shared" si="18"/>
        <v>1540246.5</v>
      </c>
      <c r="H108" s="333">
        <f t="shared" si="10"/>
        <v>202883.09723067653</v>
      </c>
      <c r="I108" s="344">
        <f t="shared" si="11"/>
        <v>202883.09723067653</v>
      </c>
      <c r="J108" s="162">
        <f t="shared" si="9"/>
        <v>0</v>
      </c>
      <c r="K108" s="162"/>
      <c r="L108" s="335"/>
      <c r="M108" s="162">
        <f t="shared" si="12"/>
        <v>0</v>
      </c>
      <c r="N108" s="335"/>
      <c r="O108" s="162">
        <f t="shared" si="13"/>
        <v>0</v>
      </c>
      <c r="P108" s="162">
        <f t="shared" si="14"/>
        <v>0</v>
      </c>
    </row>
    <row r="109" spans="1:16">
      <c r="B109" s="9" t="str">
        <f t="shared" si="15"/>
        <v/>
      </c>
      <c r="C109" s="157">
        <f>IF(D93="","-",+C108+1)</f>
        <v>2028</v>
      </c>
      <c r="D109" s="158">
        <f>IF(F108+SUM(E$99:E108)=D$92,F108,D$92-SUM(E$99:E108))</f>
        <v>1517924</v>
      </c>
      <c r="E109" s="164">
        <f t="shared" si="16"/>
        <v>44645</v>
      </c>
      <c r="F109" s="163">
        <f t="shared" si="17"/>
        <v>1473279</v>
      </c>
      <c r="G109" s="163">
        <f t="shared" si="18"/>
        <v>1495601.5</v>
      </c>
      <c r="H109" s="333">
        <f t="shared" si="10"/>
        <v>198296.46784968878</v>
      </c>
      <c r="I109" s="344">
        <f t="shared" si="11"/>
        <v>198296.46784968878</v>
      </c>
      <c r="J109" s="162">
        <f t="shared" si="9"/>
        <v>0</v>
      </c>
      <c r="K109" s="162"/>
      <c r="L109" s="335"/>
      <c r="M109" s="162">
        <f t="shared" si="12"/>
        <v>0</v>
      </c>
      <c r="N109" s="335"/>
      <c r="O109" s="162">
        <f t="shared" si="13"/>
        <v>0</v>
      </c>
      <c r="P109" s="162">
        <f t="shared" si="14"/>
        <v>0</v>
      </c>
    </row>
    <row r="110" spans="1:16">
      <c r="B110" s="9" t="str">
        <f t="shared" si="15"/>
        <v/>
      </c>
      <c r="C110" s="157">
        <f>IF(D93="","-",+C109+1)</f>
        <v>2029</v>
      </c>
      <c r="D110" s="158">
        <f>IF(F109+SUM(E$99:E109)=D$92,F109,D$92-SUM(E$99:E109))</f>
        <v>1473279</v>
      </c>
      <c r="E110" s="164">
        <f t="shared" si="16"/>
        <v>44645</v>
      </c>
      <c r="F110" s="163">
        <f t="shared" si="17"/>
        <v>1428634</v>
      </c>
      <c r="G110" s="163">
        <f t="shared" si="18"/>
        <v>1450956.5</v>
      </c>
      <c r="H110" s="333">
        <f t="shared" si="10"/>
        <v>193709.83846870103</v>
      </c>
      <c r="I110" s="344">
        <f t="shared" si="11"/>
        <v>193709.83846870103</v>
      </c>
      <c r="J110" s="162">
        <f t="shared" si="9"/>
        <v>0</v>
      </c>
      <c r="K110" s="162"/>
      <c r="L110" s="335"/>
      <c r="M110" s="162">
        <f t="shared" si="12"/>
        <v>0</v>
      </c>
      <c r="N110" s="335"/>
      <c r="O110" s="162">
        <f t="shared" si="13"/>
        <v>0</v>
      </c>
      <c r="P110" s="162">
        <f t="shared" si="14"/>
        <v>0</v>
      </c>
    </row>
    <row r="111" spans="1:16">
      <c r="B111" s="9" t="str">
        <f t="shared" si="15"/>
        <v/>
      </c>
      <c r="C111" s="157">
        <f>IF(D93="","-",+C110+1)</f>
        <v>2030</v>
      </c>
      <c r="D111" s="158">
        <f>IF(F110+SUM(E$99:E110)=D$92,F110,D$92-SUM(E$99:E110))</f>
        <v>1428634</v>
      </c>
      <c r="E111" s="164">
        <f t="shared" si="16"/>
        <v>44645</v>
      </c>
      <c r="F111" s="163">
        <f t="shared" si="17"/>
        <v>1383989</v>
      </c>
      <c r="G111" s="163">
        <f t="shared" si="18"/>
        <v>1406311.5</v>
      </c>
      <c r="H111" s="333">
        <f t="shared" si="10"/>
        <v>189123.20908771327</v>
      </c>
      <c r="I111" s="344">
        <f t="shared" si="11"/>
        <v>189123.20908771327</v>
      </c>
      <c r="J111" s="162">
        <f t="shared" si="9"/>
        <v>0</v>
      </c>
      <c r="K111" s="162"/>
      <c r="L111" s="335"/>
      <c r="M111" s="162">
        <f t="shared" si="12"/>
        <v>0</v>
      </c>
      <c r="N111" s="335"/>
      <c r="O111" s="162">
        <f t="shared" si="13"/>
        <v>0</v>
      </c>
      <c r="P111" s="162">
        <f t="shared" si="14"/>
        <v>0</v>
      </c>
    </row>
    <row r="112" spans="1:16">
      <c r="B112" s="9" t="str">
        <f t="shared" si="15"/>
        <v/>
      </c>
      <c r="C112" s="157">
        <f>IF(D93="","-",+C111+1)</f>
        <v>2031</v>
      </c>
      <c r="D112" s="158">
        <f>IF(F111+SUM(E$99:E111)=D$92,F111,D$92-SUM(E$99:E111))</f>
        <v>1383989</v>
      </c>
      <c r="E112" s="164">
        <f t="shared" si="16"/>
        <v>44645</v>
      </c>
      <c r="F112" s="163">
        <f t="shared" si="17"/>
        <v>1339344</v>
      </c>
      <c r="G112" s="163">
        <f t="shared" si="18"/>
        <v>1361666.5</v>
      </c>
      <c r="H112" s="333">
        <f t="shared" si="10"/>
        <v>184536.57970672552</v>
      </c>
      <c r="I112" s="344">
        <f t="shared" si="11"/>
        <v>184536.57970672552</v>
      </c>
      <c r="J112" s="162">
        <f t="shared" si="9"/>
        <v>0</v>
      </c>
      <c r="K112" s="162"/>
      <c r="L112" s="335"/>
      <c r="M112" s="162">
        <f t="shared" si="12"/>
        <v>0</v>
      </c>
      <c r="N112" s="335"/>
      <c r="O112" s="162">
        <f t="shared" si="13"/>
        <v>0</v>
      </c>
      <c r="P112" s="162">
        <f t="shared" si="14"/>
        <v>0</v>
      </c>
    </row>
    <row r="113" spans="2:16">
      <c r="B113" s="9" t="str">
        <f t="shared" si="15"/>
        <v/>
      </c>
      <c r="C113" s="157">
        <f>IF(D93="","-",+C112+1)</f>
        <v>2032</v>
      </c>
      <c r="D113" s="158">
        <f>IF(F112+SUM(E$99:E112)=D$92,F112,D$92-SUM(E$99:E112))</f>
        <v>1339344</v>
      </c>
      <c r="E113" s="164">
        <f t="shared" si="16"/>
        <v>44645</v>
      </c>
      <c r="F113" s="163">
        <f t="shared" si="17"/>
        <v>1294699</v>
      </c>
      <c r="G113" s="163">
        <f t="shared" si="18"/>
        <v>1317021.5</v>
      </c>
      <c r="H113" s="333">
        <f t="shared" si="10"/>
        <v>179949.95032573777</v>
      </c>
      <c r="I113" s="344">
        <f t="shared" si="11"/>
        <v>179949.95032573777</v>
      </c>
      <c r="J113" s="162">
        <f t="shared" si="9"/>
        <v>0</v>
      </c>
      <c r="K113" s="162"/>
      <c r="L113" s="335"/>
      <c r="M113" s="162">
        <f t="shared" si="12"/>
        <v>0</v>
      </c>
      <c r="N113" s="335"/>
      <c r="O113" s="162">
        <f t="shared" si="13"/>
        <v>0</v>
      </c>
      <c r="P113" s="162">
        <f t="shared" si="14"/>
        <v>0</v>
      </c>
    </row>
    <row r="114" spans="2:16">
      <c r="B114" s="9" t="str">
        <f t="shared" si="15"/>
        <v/>
      </c>
      <c r="C114" s="157">
        <f>IF(D93="","-",+C113+1)</f>
        <v>2033</v>
      </c>
      <c r="D114" s="158">
        <f>IF(F113+SUM(E$99:E113)=D$92,F113,D$92-SUM(E$99:E113))</f>
        <v>1294699</v>
      </c>
      <c r="E114" s="164">
        <f t="shared" si="16"/>
        <v>44645</v>
      </c>
      <c r="F114" s="163">
        <f t="shared" si="17"/>
        <v>1250054</v>
      </c>
      <c r="G114" s="163">
        <f t="shared" si="18"/>
        <v>1272376.5</v>
      </c>
      <c r="H114" s="333">
        <f t="shared" si="10"/>
        <v>175363.32094474998</v>
      </c>
      <c r="I114" s="344">
        <f t="shared" si="11"/>
        <v>175363.32094474998</v>
      </c>
      <c r="J114" s="162">
        <f t="shared" si="9"/>
        <v>0</v>
      </c>
      <c r="K114" s="162"/>
      <c r="L114" s="335"/>
      <c r="M114" s="162">
        <f t="shared" si="12"/>
        <v>0</v>
      </c>
      <c r="N114" s="335"/>
      <c r="O114" s="162">
        <f t="shared" si="13"/>
        <v>0</v>
      </c>
      <c r="P114" s="162">
        <f t="shared" si="14"/>
        <v>0</v>
      </c>
    </row>
    <row r="115" spans="2:16">
      <c r="B115" s="9" t="str">
        <f t="shared" si="15"/>
        <v/>
      </c>
      <c r="C115" s="157">
        <f>IF(D93="","-",+C114+1)</f>
        <v>2034</v>
      </c>
      <c r="D115" s="158">
        <f>IF(F114+SUM(E$99:E114)=D$92,F114,D$92-SUM(E$99:E114))</f>
        <v>1250054</v>
      </c>
      <c r="E115" s="164">
        <f t="shared" si="16"/>
        <v>44645</v>
      </c>
      <c r="F115" s="163">
        <f t="shared" si="17"/>
        <v>1205409</v>
      </c>
      <c r="G115" s="163">
        <f t="shared" si="18"/>
        <v>1227731.5</v>
      </c>
      <c r="H115" s="333">
        <f t="shared" si="10"/>
        <v>170776.69156376226</v>
      </c>
      <c r="I115" s="344">
        <f t="shared" si="11"/>
        <v>170776.69156376226</v>
      </c>
      <c r="J115" s="162">
        <f t="shared" si="9"/>
        <v>0</v>
      </c>
      <c r="K115" s="162"/>
      <c r="L115" s="335"/>
      <c r="M115" s="162">
        <f t="shared" si="12"/>
        <v>0</v>
      </c>
      <c r="N115" s="335"/>
      <c r="O115" s="162">
        <f t="shared" si="13"/>
        <v>0</v>
      </c>
      <c r="P115" s="162">
        <f t="shared" si="14"/>
        <v>0</v>
      </c>
    </row>
    <row r="116" spans="2:16">
      <c r="B116" s="9" t="str">
        <f t="shared" si="15"/>
        <v/>
      </c>
      <c r="C116" s="157">
        <f>IF(D93="","-",+C115+1)</f>
        <v>2035</v>
      </c>
      <c r="D116" s="158">
        <f>IF(F115+SUM(E$99:E115)=D$92,F115,D$92-SUM(E$99:E115))</f>
        <v>1205409</v>
      </c>
      <c r="E116" s="164">
        <f t="shared" si="16"/>
        <v>44645</v>
      </c>
      <c r="F116" s="163">
        <f t="shared" si="17"/>
        <v>1160764</v>
      </c>
      <c r="G116" s="163">
        <f t="shared" si="18"/>
        <v>1183086.5</v>
      </c>
      <c r="H116" s="333">
        <f t="shared" si="10"/>
        <v>166190.06218277448</v>
      </c>
      <c r="I116" s="344">
        <f t="shared" si="11"/>
        <v>166190.06218277448</v>
      </c>
      <c r="J116" s="162">
        <f t="shared" si="9"/>
        <v>0</v>
      </c>
      <c r="K116" s="162"/>
      <c r="L116" s="335"/>
      <c r="M116" s="162">
        <f t="shared" si="12"/>
        <v>0</v>
      </c>
      <c r="N116" s="335"/>
      <c r="O116" s="162">
        <f t="shared" si="13"/>
        <v>0</v>
      </c>
      <c r="P116" s="162">
        <f t="shared" si="14"/>
        <v>0</v>
      </c>
    </row>
    <row r="117" spans="2:16">
      <c r="B117" s="9" t="str">
        <f t="shared" si="15"/>
        <v/>
      </c>
      <c r="C117" s="157">
        <f>IF(D93="","-",+C116+1)</f>
        <v>2036</v>
      </c>
      <c r="D117" s="158">
        <f>IF(F116+SUM(E$99:E116)=D$92,F116,D$92-SUM(E$99:E116))</f>
        <v>1160764</v>
      </c>
      <c r="E117" s="164">
        <f t="shared" si="16"/>
        <v>44645</v>
      </c>
      <c r="F117" s="163">
        <f t="shared" si="17"/>
        <v>1116119</v>
      </c>
      <c r="G117" s="163">
        <f t="shared" si="18"/>
        <v>1138441.5</v>
      </c>
      <c r="H117" s="333">
        <f t="shared" si="10"/>
        <v>161603.43280178675</v>
      </c>
      <c r="I117" s="344">
        <f t="shared" si="11"/>
        <v>161603.43280178675</v>
      </c>
      <c r="J117" s="162">
        <f t="shared" si="9"/>
        <v>0</v>
      </c>
      <c r="K117" s="162"/>
      <c r="L117" s="335"/>
      <c r="M117" s="162">
        <f t="shared" si="12"/>
        <v>0</v>
      </c>
      <c r="N117" s="335"/>
      <c r="O117" s="162">
        <f t="shared" si="13"/>
        <v>0</v>
      </c>
      <c r="P117" s="162">
        <f t="shared" si="14"/>
        <v>0</v>
      </c>
    </row>
    <row r="118" spans="2:16">
      <c r="B118" s="9" t="str">
        <f t="shared" si="15"/>
        <v/>
      </c>
      <c r="C118" s="157">
        <f>IF(D93="","-",+C117+1)</f>
        <v>2037</v>
      </c>
      <c r="D118" s="158">
        <f>IF(F117+SUM(E$99:E117)=D$92,F117,D$92-SUM(E$99:E117))</f>
        <v>1116119</v>
      </c>
      <c r="E118" s="164">
        <f t="shared" si="16"/>
        <v>44645</v>
      </c>
      <c r="F118" s="163">
        <f t="shared" si="17"/>
        <v>1071474</v>
      </c>
      <c r="G118" s="163">
        <f t="shared" si="18"/>
        <v>1093796.5</v>
      </c>
      <c r="H118" s="333">
        <f t="shared" si="10"/>
        <v>157016.80342079897</v>
      </c>
      <c r="I118" s="344">
        <f t="shared" si="11"/>
        <v>157016.80342079897</v>
      </c>
      <c r="J118" s="162">
        <f t="shared" si="9"/>
        <v>0</v>
      </c>
      <c r="K118" s="162"/>
      <c r="L118" s="335"/>
      <c r="M118" s="162">
        <f t="shared" si="12"/>
        <v>0</v>
      </c>
      <c r="N118" s="335"/>
      <c r="O118" s="162">
        <f t="shared" si="13"/>
        <v>0</v>
      </c>
      <c r="P118" s="162">
        <f t="shared" si="14"/>
        <v>0</v>
      </c>
    </row>
    <row r="119" spans="2:16">
      <c r="B119" s="9" t="str">
        <f t="shared" si="15"/>
        <v/>
      </c>
      <c r="C119" s="157">
        <f>IF(D93="","-",+C118+1)</f>
        <v>2038</v>
      </c>
      <c r="D119" s="158">
        <f>IF(F118+SUM(E$99:E118)=D$92,F118,D$92-SUM(E$99:E118))</f>
        <v>1071474</v>
      </c>
      <c r="E119" s="164">
        <f t="shared" si="16"/>
        <v>44645</v>
      </c>
      <c r="F119" s="163">
        <f t="shared" si="17"/>
        <v>1026829</v>
      </c>
      <c r="G119" s="163">
        <f t="shared" si="18"/>
        <v>1049151.5</v>
      </c>
      <c r="H119" s="333">
        <f t="shared" si="10"/>
        <v>152430.17403981125</v>
      </c>
      <c r="I119" s="344">
        <f t="shared" si="11"/>
        <v>152430.17403981125</v>
      </c>
      <c r="J119" s="162">
        <f t="shared" si="9"/>
        <v>0</v>
      </c>
      <c r="K119" s="162"/>
      <c r="L119" s="335"/>
      <c r="M119" s="162">
        <f t="shared" si="12"/>
        <v>0</v>
      </c>
      <c r="N119" s="335"/>
      <c r="O119" s="162">
        <f t="shared" si="13"/>
        <v>0</v>
      </c>
      <c r="P119" s="162">
        <f t="shared" si="14"/>
        <v>0</v>
      </c>
    </row>
    <row r="120" spans="2:16">
      <c r="B120" s="9" t="str">
        <f t="shared" si="15"/>
        <v/>
      </c>
      <c r="C120" s="157">
        <f>IF(D93="","-",+C119+1)</f>
        <v>2039</v>
      </c>
      <c r="D120" s="158">
        <f>IF(F119+SUM(E$99:E119)=D$92,F119,D$92-SUM(E$99:E119))</f>
        <v>1026829</v>
      </c>
      <c r="E120" s="164">
        <f t="shared" si="16"/>
        <v>44645</v>
      </c>
      <c r="F120" s="163">
        <f t="shared" si="17"/>
        <v>982184</v>
      </c>
      <c r="G120" s="163">
        <f t="shared" si="18"/>
        <v>1004506.5</v>
      </c>
      <c r="H120" s="333">
        <f t="shared" si="10"/>
        <v>147843.54465882349</v>
      </c>
      <c r="I120" s="344">
        <f t="shared" si="11"/>
        <v>147843.54465882349</v>
      </c>
      <c r="J120" s="162">
        <f t="shared" si="9"/>
        <v>0</v>
      </c>
      <c r="K120" s="162"/>
      <c r="L120" s="335"/>
      <c r="M120" s="162">
        <f t="shared" si="12"/>
        <v>0</v>
      </c>
      <c r="N120" s="335"/>
      <c r="O120" s="162">
        <f t="shared" si="13"/>
        <v>0</v>
      </c>
      <c r="P120" s="162">
        <f t="shared" si="14"/>
        <v>0</v>
      </c>
    </row>
    <row r="121" spans="2:16">
      <c r="B121" s="9" t="str">
        <f t="shared" si="15"/>
        <v/>
      </c>
      <c r="C121" s="157">
        <f>IF(D93="","-",+C120+1)</f>
        <v>2040</v>
      </c>
      <c r="D121" s="158">
        <f>IF(F120+SUM(E$99:E120)=D$92,F120,D$92-SUM(E$99:E120))</f>
        <v>982184</v>
      </c>
      <c r="E121" s="164">
        <f t="shared" si="16"/>
        <v>44645</v>
      </c>
      <c r="F121" s="163">
        <f t="shared" si="17"/>
        <v>937539</v>
      </c>
      <c r="G121" s="163">
        <f t="shared" si="18"/>
        <v>959861.5</v>
      </c>
      <c r="H121" s="333">
        <f t="shared" si="10"/>
        <v>143256.91527783574</v>
      </c>
      <c r="I121" s="344">
        <f t="shared" si="11"/>
        <v>143256.91527783574</v>
      </c>
      <c r="J121" s="162">
        <f t="shared" si="9"/>
        <v>0</v>
      </c>
      <c r="K121" s="162"/>
      <c r="L121" s="335"/>
      <c r="M121" s="162">
        <f t="shared" si="12"/>
        <v>0</v>
      </c>
      <c r="N121" s="335"/>
      <c r="O121" s="162">
        <f t="shared" si="13"/>
        <v>0</v>
      </c>
      <c r="P121" s="162">
        <f t="shared" si="14"/>
        <v>0</v>
      </c>
    </row>
    <row r="122" spans="2:16">
      <c r="B122" s="9" t="str">
        <f t="shared" si="15"/>
        <v/>
      </c>
      <c r="C122" s="157">
        <f>IF(D93="","-",+C121+1)</f>
        <v>2041</v>
      </c>
      <c r="D122" s="158">
        <f>IF(F121+SUM(E$99:E121)=D$92,F121,D$92-SUM(E$99:E121))</f>
        <v>937539</v>
      </c>
      <c r="E122" s="164">
        <f t="shared" si="16"/>
        <v>44645</v>
      </c>
      <c r="F122" s="163">
        <f t="shared" si="17"/>
        <v>892894</v>
      </c>
      <c r="G122" s="163">
        <f t="shared" si="18"/>
        <v>915216.5</v>
      </c>
      <c r="H122" s="333">
        <f t="shared" si="10"/>
        <v>138670.28589684798</v>
      </c>
      <c r="I122" s="344">
        <f t="shared" si="11"/>
        <v>138670.28589684798</v>
      </c>
      <c r="J122" s="162">
        <f t="shared" si="9"/>
        <v>0</v>
      </c>
      <c r="K122" s="162"/>
      <c r="L122" s="335"/>
      <c r="M122" s="162">
        <f t="shared" si="12"/>
        <v>0</v>
      </c>
      <c r="N122" s="335"/>
      <c r="O122" s="162">
        <f t="shared" si="13"/>
        <v>0</v>
      </c>
      <c r="P122" s="162">
        <f t="shared" si="14"/>
        <v>0</v>
      </c>
    </row>
    <row r="123" spans="2:16">
      <c r="B123" s="9" t="str">
        <f t="shared" si="15"/>
        <v/>
      </c>
      <c r="C123" s="157">
        <f>IF(D93="","-",+C122+1)</f>
        <v>2042</v>
      </c>
      <c r="D123" s="158">
        <f>IF(F122+SUM(E$99:E122)=D$92,F122,D$92-SUM(E$99:E122))</f>
        <v>892894</v>
      </c>
      <c r="E123" s="164">
        <f t="shared" si="16"/>
        <v>44645</v>
      </c>
      <c r="F123" s="163">
        <f t="shared" si="17"/>
        <v>848249</v>
      </c>
      <c r="G123" s="163">
        <f t="shared" si="18"/>
        <v>870571.5</v>
      </c>
      <c r="H123" s="333">
        <f t="shared" si="10"/>
        <v>134083.65651586023</v>
      </c>
      <c r="I123" s="344">
        <f t="shared" si="11"/>
        <v>134083.65651586023</v>
      </c>
      <c r="J123" s="162">
        <f t="shared" si="9"/>
        <v>0</v>
      </c>
      <c r="K123" s="162"/>
      <c r="L123" s="335"/>
      <c r="M123" s="162">
        <f t="shared" si="12"/>
        <v>0</v>
      </c>
      <c r="N123" s="335"/>
      <c r="O123" s="162">
        <f t="shared" si="13"/>
        <v>0</v>
      </c>
      <c r="P123" s="162">
        <f t="shared" si="14"/>
        <v>0</v>
      </c>
    </row>
    <row r="124" spans="2:16">
      <c r="B124" s="9" t="str">
        <f t="shared" si="15"/>
        <v/>
      </c>
      <c r="C124" s="157">
        <f>IF(D93="","-",+C123+1)</f>
        <v>2043</v>
      </c>
      <c r="D124" s="158">
        <f>IF(F123+SUM(E$99:E123)=D$92,F123,D$92-SUM(E$99:E123))</f>
        <v>848249</v>
      </c>
      <c r="E124" s="164">
        <f t="shared" si="16"/>
        <v>44645</v>
      </c>
      <c r="F124" s="163">
        <f t="shared" si="17"/>
        <v>803604</v>
      </c>
      <c r="G124" s="163">
        <f t="shared" si="18"/>
        <v>825926.5</v>
      </c>
      <c r="H124" s="333">
        <f t="shared" si="10"/>
        <v>129497.02713487248</v>
      </c>
      <c r="I124" s="344">
        <f t="shared" si="11"/>
        <v>129497.02713487248</v>
      </c>
      <c r="J124" s="162">
        <f t="shared" si="9"/>
        <v>0</v>
      </c>
      <c r="K124" s="162"/>
      <c r="L124" s="335"/>
      <c r="M124" s="162">
        <f t="shared" si="12"/>
        <v>0</v>
      </c>
      <c r="N124" s="335"/>
      <c r="O124" s="162">
        <f t="shared" si="13"/>
        <v>0</v>
      </c>
      <c r="P124" s="162">
        <f t="shared" si="14"/>
        <v>0</v>
      </c>
    </row>
    <row r="125" spans="2:16">
      <c r="B125" s="9" t="str">
        <f t="shared" si="15"/>
        <v/>
      </c>
      <c r="C125" s="157">
        <f>IF(D93="","-",+C124+1)</f>
        <v>2044</v>
      </c>
      <c r="D125" s="158">
        <f>IF(F124+SUM(E$99:E124)=D$92,F124,D$92-SUM(E$99:E124))</f>
        <v>803604</v>
      </c>
      <c r="E125" s="164">
        <f t="shared" si="16"/>
        <v>44645</v>
      </c>
      <c r="F125" s="163">
        <f t="shared" si="17"/>
        <v>758959</v>
      </c>
      <c r="G125" s="163">
        <f t="shared" si="18"/>
        <v>781281.5</v>
      </c>
      <c r="H125" s="333">
        <f t="shared" si="10"/>
        <v>124910.39775388472</v>
      </c>
      <c r="I125" s="344">
        <f t="shared" si="11"/>
        <v>124910.39775388472</v>
      </c>
      <c r="J125" s="162">
        <f t="shared" si="9"/>
        <v>0</v>
      </c>
      <c r="K125" s="162"/>
      <c r="L125" s="335"/>
      <c r="M125" s="162">
        <f t="shared" si="12"/>
        <v>0</v>
      </c>
      <c r="N125" s="335"/>
      <c r="O125" s="162">
        <f t="shared" si="13"/>
        <v>0</v>
      </c>
      <c r="P125" s="162">
        <f t="shared" si="14"/>
        <v>0</v>
      </c>
    </row>
    <row r="126" spans="2:16">
      <c r="B126" s="9" t="str">
        <f t="shared" si="15"/>
        <v/>
      </c>
      <c r="C126" s="157">
        <f>IF(D93="","-",+C125+1)</f>
        <v>2045</v>
      </c>
      <c r="D126" s="158">
        <f>IF(F125+SUM(E$99:E125)=D$92,F125,D$92-SUM(E$99:E125))</f>
        <v>758959</v>
      </c>
      <c r="E126" s="164">
        <f t="shared" si="16"/>
        <v>44645</v>
      </c>
      <c r="F126" s="163">
        <f t="shared" si="17"/>
        <v>714314</v>
      </c>
      <c r="G126" s="163">
        <f t="shared" si="18"/>
        <v>736636.5</v>
      </c>
      <c r="H126" s="333">
        <f t="shared" si="10"/>
        <v>120323.76837289697</v>
      </c>
      <c r="I126" s="344">
        <f t="shared" si="11"/>
        <v>120323.76837289697</v>
      </c>
      <c r="J126" s="162">
        <f t="shared" si="9"/>
        <v>0</v>
      </c>
      <c r="K126" s="162"/>
      <c r="L126" s="335"/>
      <c r="M126" s="162">
        <f t="shared" si="12"/>
        <v>0</v>
      </c>
      <c r="N126" s="335"/>
      <c r="O126" s="162">
        <f t="shared" si="13"/>
        <v>0</v>
      </c>
      <c r="P126" s="162">
        <f t="shared" si="14"/>
        <v>0</v>
      </c>
    </row>
    <row r="127" spans="2:16">
      <c r="B127" s="9" t="str">
        <f t="shared" si="15"/>
        <v/>
      </c>
      <c r="C127" s="157">
        <f>IF(D93="","-",+C126+1)</f>
        <v>2046</v>
      </c>
      <c r="D127" s="158">
        <f>IF(F126+SUM(E$99:E126)=D$92,F126,D$92-SUM(E$99:E126))</f>
        <v>714314</v>
      </c>
      <c r="E127" s="164">
        <f t="shared" si="16"/>
        <v>44645</v>
      </c>
      <c r="F127" s="163">
        <f t="shared" si="17"/>
        <v>669669</v>
      </c>
      <c r="G127" s="163">
        <f t="shared" si="18"/>
        <v>691991.5</v>
      </c>
      <c r="H127" s="333">
        <f t="shared" si="10"/>
        <v>115737.13899190922</v>
      </c>
      <c r="I127" s="344">
        <f t="shared" si="11"/>
        <v>115737.13899190922</v>
      </c>
      <c r="J127" s="162">
        <f t="shared" si="9"/>
        <v>0</v>
      </c>
      <c r="K127" s="162"/>
      <c r="L127" s="335"/>
      <c r="M127" s="162">
        <f t="shared" si="12"/>
        <v>0</v>
      </c>
      <c r="N127" s="335"/>
      <c r="O127" s="162">
        <f t="shared" si="13"/>
        <v>0</v>
      </c>
      <c r="P127" s="162">
        <f t="shared" si="14"/>
        <v>0</v>
      </c>
    </row>
    <row r="128" spans="2:16">
      <c r="B128" s="9" t="str">
        <f t="shared" si="15"/>
        <v/>
      </c>
      <c r="C128" s="157">
        <f>IF(D93="","-",+C127+1)</f>
        <v>2047</v>
      </c>
      <c r="D128" s="158">
        <f>IF(F127+SUM(E$99:E127)=D$92,F127,D$92-SUM(E$99:E127))</f>
        <v>669669</v>
      </c>
      <c r="E128" s="164">
        <f t="shared" si="16"/>
        <v>44645</v>
      </c>
      <c r="F128" s="163">
        <f t="shared" si="17"/>
        <v>625024</v>
      </c>
      <c r="G128" s="163">
        <f t="shared" si="18"/>
        <v>647346.5</v>
      </c>
      <c r="H128" s="333">
        <f t="shared" si="10"/>
        <v>111150.50961092146</v>
      </c>
      <c r="I128" s="344">
        <f t="shared" si="11"/>
        <v>111150.50961092146</v>
      </c>
      <c r="J128" s="162">
        <f t="shared" si="9"/>
        <v>0</v>
      </c>
      <c r="K128" s="162"/>
      <c r="L128" s="335"/>
      <c r="M128" s="162">
        <f t="shared" si="12"/>
        <v>0</v>
      </c>
      <c r="N128" s="335"/>
      <c r="O128" s="162">
        <f t="shared" si="13"/>
        <v>0</v>
      </c>
      <c r="P128" s="162">
        <f t="shared" si="14"/>
        <v>0</v>
      </c>
    </row>
    <row r="129" spans="2:16">
      <c r="B129" s="9" t="str">
        <f t="shared" si="15"/>
        <v/>
      </c>
      <c r="C129" s="157">
        <f>IF(D93="","-",+C128+1)</f>
        <v>2048</v>
      </c>
      <c r="D129" s="158">
        <f>IF(F128+SUM(E$99:E128)=D$92,F128,D$92-SUM(E$99:E128))</f>
        <v>625024</v>
      </c>
      <c r="E129" s="164">
        <f t="shared" si="16"/>
        <v>44645</v>
      </c>
      <c r="F129" s="163">
        <f t="shared" si="17"/>
        <v>580379</v>
      </c>
      <c r="G129" s="163">
        <f t="shared" si="18"/>
        <v>602701.5</v>
      </c>
      <c r="H129" s="333">
        <f t="shared" si="10"/>
        <v>106563.88022993371</v>
      </c>
      <c r="I129" s="344">
        <f t="shared" si="11"/>
        <v>106563.88022993371</v>
      </c>
      <c r="J129" s="162">
        <f t="shared" si="9"/>
        <v>0</v>
      </c>
      <c r="K129" s="162"/>
      <c r="L129" s="335"/>
      <c r="M129" s="162">
        <f t="shared" si="12"/>
        <v>0</v>
      </c>
      <c r="N129" s="335"/>
      <c r="O129" s="162">
        <f t="shared" si="13"/>
        <v>0</v>
      </c>
      <c r="P129" s="162">
        <f t="shared" si="14"/>
        <v>0</v>
      </c>
    </row>
    <row r="130" spans="2:16">
      <c r="B130" s="9" t="str">
        <f t="shared" si="15"/>
        <v/>
      </c>
      <c r="C130" s="157">
        <f>IF(D93="","-",+C129+1)</f>
        <v>2049</v>
      </c>
      <c r="D130" s="158">
        <f>IF(F129+SUM(E$99:E129)=D$92,F129,D$92-SUM(E$99:E129))</f>
        <v>580379</v>
      </c>
      <c r="E130" s="164">
        <f t="shared" si="16"/>
        <v>44645</v>
      </c>
      <c r="F130" s="163">
        <f t="shared" si="17"/>
        <v>535734</v>
      </c>
      <c r="G130" s="163">
        <f t="shared" si="18"/>
        <v>558056.5</v>
      </c>
      <c r="H130" s="333">
        <f t="shared" si="10"/>
        <v>101977.25084894596</v>
      </c>
      <c r="I130" s="344">
        <f t="shared" si="11"/>
        <v>101977.25084894596</v>
      </c>
      <c r="J130" s="162">
        <f t="shared" si="9"/>
        <v>0</v>
      </c>
      <c r="K130" s="162"/>
      <c r="L130" s="335"/>
      <c r="M130" s="162">
        <f t="shared" si="12"/>
        <v>0</v>
      </c>
      <c r="N130" s="335"/>
      <c r="O130" s="162">
        <f t="shared" si="13"/>
        <v>0</v>
      </c>
      <c r="P130" s="162">
        <f t="shared" si="14"/>
        <v>0</v>
      </c>
    </row>
    <row r="131" spans="2:16">
      <c r="B131" s="9" t="str">
        <f t="shared" si="15"/>
        <v/>
      </c>
      <c r="C131" s="157">
        <f>IF(D93="","-",+C130+1)</f>
        <v>2050</v>
      </c>
      <c r="D131" s="158">
        <f>IF(F130+SUM(E$99:E130)=D$92,F130,D$92-SUM(E$99:E130))</f>
        <v>535734</v>
      </c>
      <c r="E131" s="164">
        <f t="shared" si="16"/>
        <v>44645</v>
      </c>
      <c r="F131" s="163">
        <f t="shared" si="17"/>
        <v>491089</v>
      </c>
      <c r="G131" s="163">
        <f t="shared" si="18"/>
        <v>513411.5</v>
      </c>
      <c r="H131" s="333">
        <f t="shared" si="10"/>
        <v>97390.621467958204</v>
      </c>
      <c r="I131" s="344">
        <f t="shared" si="11"/>
        <v>97390.621467958204</v>
      </c>
      <c r="J131" s="162">
        <f t="shared" ref="J131:J154" si="19">+I541-H541</f>
        <v>0</v>
      </c>
      <c r="K131" s="162"/>
      <c r="L131" s="335"/>
      <c r="M131" s="162">
        <f t="shared" ref="M131:M154" si="20">IF(L541&lt;&gt;0,+H541-L541,0)</f>
        <v>0</v>
      </c>
      <c r="N131" s="335"/>
      <c r="O131" s="162">
        <f t="shared" ref="O131:O154" si="21">IF(N541&lt;&gt;0,+I541-N541,0)</f>
        <v>0</v>
      </c>
      <c r="P131" s="162">
        <f t="shared" ref="P131:P154" si="22">+O541-M541</f>
        <v>0</v>
      </c>
    </row>
    <row r="132" spans="2:16">
      <c r="B132" s="9" t="str">
        <f t="shared" si="15"/>
        <v/>
      </c>
      <c r="C132" s="157">
        <f>IF(D93="","-",+C131+1)</f>
        <v>2051</v>
      </c>
      <c r="D132" s="158">
        <f>IF(F131+SUM(E$99:E131)=D$92,F131,D$92-SUM(E$99:E131))</f>
        <v>491089</v>
      </c>
      <c r="E132" s="164">
        <f t="shared" si="16"/>
        <v>44645</v>
      </c>
      <c r="F132" s="163">
        <f t="shared" si="17"/>
        <v>446444</v>
      </c>
      <c r="G132" s="163">
        <f t="shared" si="18"/>
        <v>468766.5</v>
      </c>
      <c r="H132" s="333">
        <f t="shared" si="10"/>
        <v>92803.992086970451</v>
      </c>
      <c r="I132" s="344">
        <f t="shared" si="11"/>
        <v>92803.992086970451</v>
      </c>
      <c r="J132" s="162">
        <f t="shared" si="19"/>
        <v>0</v>
      </c>
      <c r="K132" s="162"/>
      <c r="L132" s="335"/>
      <c r="M132" s="162">
        <f t="shared" si="20"/>
        <v>0</v>
      </c>
      <c r="N132" s="335"/>
      <c r="O132" s="162">
        <f t="shared" si="21"/>
        <v>0</v>
      </c>
      <c r="P132" s="162">
        <f t="shared" si="22"/>
        <v>0</v>
      </c>
    </row>
    <row r="133" spans="2:16">
      <c r="B133" s="9" t="str">
        <f t="shared" si="15"/>
        <v/>
      </c>
      <c r="C133" s="157">
        <f>IF(D93="","-",+C132+1)</f>
        <v>2052</v>
      </c>
      <c r="D133" s="158">
        <f>IF(F132+SUM(E$99:E132)=D$92,F132,D$92-SUM(E$99:E132))</f>
        <v>446444</v>
      </c>
      <c r="E133" s="164">
        <f t="shared" si="16"/>
        <v>44645</v>
      </c>
      <c r="F133" s="163">
        <f t="shared" si="17"/>
        <v>401799</v>
      </c>
      <c r="G133" s="163">
        <f t="shared" si="18"/>
        <v>424121.5</v>
      </c>
      <c r="H133" s="333">
        <f t="shared" si="10"/>
        <v>88217.362705982698</v>
      </c>
      <c r="I133" s="344">
        <f t="shared" si="11"/>
        <v>88217.362705982698</v>
      </c>
      <c r="J133" s="162">
        <f t="shared" si="19"/>
        <v>0</v>
      </c>
      <c r="K133" s="162"/>
      <c r="L133" s="335"/>
      <c r="M133" s="162">
        <f t="shared" si="20"/>
        <v>0</v>
      </c>
      <c r="N133" s="335"/>
      <c r="O133" s="162">
        <f t="shared" si="21"/>
        <v>0</v>
      </c>
      <c r="P133" s="162">
        <f t="shared" si="22"/>
        <v>0</v>
      </c>
    </row>
    <row r="134" spans="2:16">
      <c r="B134" s="9" t="str">
        <f t="shared" si="15"/>
        <v/>
      </c>
      <c r="C134" s="157">
        <f>IF(D93="","-",+C133+1)</f>
        <v>2053</v>
      </c>
      <c r="D134" s="158">
        <f>IF(F133+SUM(E$99:E133)=D$92,F133,D$92-SUM(E$99:E133))</f>
        <v>401799</v>
      </c>
      <c r="E134" s="164">
        <f t="shared" si="16"/>
        <v>44645</v>
      </c>
      <c r="F134" s="163">
        <f t="shared" si="17"/>
        <v>357154</v>
      </c>
      <c r="G134" s="163">
        <f t="shared" si="18"/>
        <v>379476.5</v>
      </c>
      <c r="H134" s="333">
        <f t="shared" si="10"/>
        <v>83630.733324994944</v>
      </c>
      <c r="I134" s="344">
        <f t="shared" si="11"/>
        <v>83630.733324994944</v>
      </c>
      <c r="J134" s="162">
        <f t="shared" si="19"/>
        <v>0</v>
      </c>
      <c r="K134" s="162"/>
      <c r="L134" s="335"/>
      <c r="M134" s="162">
        <f t="shared" si="20"/>
        <v>0</v>
      </c>
      <c r="N134" s="335"/>
      <c r="O134" s="162">
        <f t="shared" si="21"/>
        <v>0</v>
      </c>
      <c r="P134" s="162">
        <f t="shared" si="22"/>
        <v>0</v>
      </c>
    </row>
    <row r="135" spans="2:16">
      <c r="B135" s="9" t="str">
        <f t="shared" si="15"/>
        <v/>
      </c>
      <c r="C135" s="157">
        <f>IF(D93="","-",+C134+1)</f>
        <v>2054</v>
      </c>
      <c r="D135" s="158">
        <f>IF(F134+SUM(E$99:E134)=D$92,F134,D$92-SUM(E$99:E134))</f>
        <v>357154</v>
      </c>
      <c r="E135" s="164">
        <f t="shared" si="16"/>
        <v>44645</v>
      </c>
      <c r="F135" s="163">
        <f t="shared" si="17"/>
        <v>312509</v>
      </c>
      <c r="G135" s="163">
        <f t="shared" si="18"/>
        <v>334831.5</v>
      </c>
      <c r="H135" s="333">
        <f t="shared" si="10"/>
        <v>79044.103944007191</v>
      </c>
      <c r="I135" s="344">
        <f t="shared" si="11"/>
        <v>79044.103944007191</v>
      </c>
      <c r="J135" s="162">
        <f t="shared" si="19"/>
        <v>0</v>
      </c>
      <c r="K135" s="162"/>
      <c r="L135" s="335"/>
      <c r="M135" s="162">
        <f t="shared" si="20"/>
        <v>0</v>
      </c>
      <c r="N135" s="335"/>
      <c r="O135" s="162">
        <f t="shared" si="21"/>
        <v>0</v>
      </c>
      <c r="P135" s="162">
        <f t="shared" si="22"/>
        <v>0</v>
      </c>
    </row>
    <row r="136" spans="2:16">
      <c r="B136" s="9" t="str">
        <f t="shared" si="15"/>
        <v/>
      </c>
      <c r="C136" s="157">
        <f>IF(D93="","-",+C135+1)</f>
        <v>2055</v>
      </c>
      <c r="D136" s="158">
        <f>IF(F135+SUM(E$99:E135)=D$92,F135,D$92-SUM(E$99:E135))</f>
        <v>312509</v>
      </c>
      <c r="E136" s="164">
        <f t="shared" si="16"/>
        <v>44645</v>
      </c>
      <c r="F136" s="163">
        <f t="shared" si="17"/>
        <v>267864</v>
      </c>
      <c r="G136" s="163">
        <f t="shared" si="18"/>
        <v>290186.5</v>
      </c>
      <c r="H136" s="333">
        <f t="shared" si="10"/>
        <v>74457.474563019437</v>
      </c>
      <c r="I136" s="344">
        <f t="shared" si="11"/>
        <v>74457.474563019437</v>
      </c>
      <c r="J136" s="162">
        <f t="shared" si="19"/>
        <v>0</v>
      </c>
      <c r="K136" s="162"/>
      <c r="L136" s="335"/>
      <c r="M136" s="162">
        <f t="shared" si="20"/>
        <v>0</v>
      </c>
      <c r="N136" s="335"/>
      <c r="O136" s="162">
        <f t="shared" si="21"/>
        <v>0</v>
      </c>
      <c r="P136" s="162">
        <f t="shared" si="22"/>
        <v>0</v>
      </c>
    </row>
    <row r="137" spans="2:16">
      <c r="B137" s="9" t="str">
        <f t="shared" si="15"/>
        <v/>
      </c>
      <c r="C137" s="157">
        <f>IF(D93="","-",+C136+1)</f>
        <v>2056</v>
      </c>
      <c r="D137" s="158">
        <f>IF(F136+SUM(E$99:E136)=D$92,F136,D$92-SUM(E$99:E136))</f>
        <v>267864</v>
      </c>
      <c r="E137" s="164">
        <f t="shared" si="16"/>
        <v>44645</v>
      </c>
      <c r="F137" s="163">
        <f t="shared" si="17"/>
        <v>223219</v>
      </c>
      <c r="G137" s="163">
        <f t="shared" si="18"/>
        <v>245541.5</v>
      </c>
      <c r="H137" s="333">
        <f t="shared" si="10"/>
        <v>69870.845182031684</v>
      </c>
      <c r="I137" s="344">
        <f t="shared" si="11"/>
        <v>69870.845182031684</v>
      </c>
      <c r="J137" s="162">
        <f t="shared" si="19"/>
        <v>0</v>
      </c>
      <c r="K137" s="162"/>
      <c r="L137" s="335"/>
      <c r="M137" s="162">
        <f t="shared" si="20"/>
        <v>0</v>
      </c>
      <c r="N137" s="335"/>
      <c r="O137" s="162">
        <f t="shared" si="21"/>
        <v>0</v>
      </c>
      <c r="P137" s="162">
        <f t="shared" si="22"/>
        <v>0</v>
      </c>
    </row>
    <row r="138" spans="2:16">
      <c r="B138" s="9" t="str">
        <f t="shared" si="15"/>
        <v/>
      </c>
      <c r="C138" s="157">
        <f>IF(D93="","-",+C137+1)</f>
        <v>2057</v>
      </c>
      <c r="D138" s="158">
        <f>IF(F137+SUM(E$99:E137)=D$92,F137,D$92-SUM(E$99:E137))</f>
        <v>223219</v>
      </c>
      <c r="E138" s="164">
        <f t="shared" si="16"/>
        <v>44645</v>
      </c>
      <c r="F138" s="163">
        <f t="shared" si="17"/>
        <v>178574</v>
      </c>
      <c r="G138" s="163">
        <f t="shared" si="18"/>
        <v>200896.5</v>
      </c>
      <c r="H138" s="333">
        <f t="shared" si="10"/>
        <v>65284.215801043931</v>
      </c>
      <c r="I138" s="344">
        <f t="shared" si="11"/>
        <v>65284.215801043931</v>
      </c>
      <c r="J138" s="162">
        <f t="shared" si="19"/>
        <v>0</v>
      </c>
      <c r="K138" s="162"/>
      <c r="L138" s="335"/>
      <c r="M138" s="162">
        <f t="shared" si="20"/>
        <v>0</v>
      </c>
      <c r="N138" s="335"/>
      <c r="O138" s="162">
        <f t="shared" si="21"/>
        <v>0</v>
      </c>
      <c r="P138" s="162">
        <f t="shared" si="22"/>
        <v>0</v>
      </c>
    </row>
    <row r="139" spans="2:16">
      <c r="B139" s="9" t="str">
        <f t="shared" si="15"/>
        <v/>
      </c>
      <c r="C139" s="157">
        <f>IF(D93="","-",+C138+1)</f>
        <v>2058</v>
      </c>
      <c r="D139" s="158">
        <f>IF(F138+SUM(E$99:E138)=D$92,F138,D$92-SUM(E$99:E138))</f>
        <v>178574</v>
      </c>
      <c r="E139" s="164">
        <f t="shared" si="16"/>
        <v>44645</v>
      </c>
      <c r="F139" s="163">
        <f t="shared" si="17"/>
        <v>133929</v>
      </c>
      <c r="G139" s="163">
        <f t="shared" si="18"/>
        <v>156251.5</v>
      </c>
      <c r="H139" s="333">
        <f t="shared" si="10"/>
        <v>60697.586420056177</v>
      </c>
      <c r="I139" s="344">
        <f t="shared" si="11"/>
        <v>60697.586420056177</v>
      </c>
      <c r="J139" s="162">
        <f t="shared" si="19"/>
        <v>0</v>
      </c>
      <c r="K139" s="162"/>
      <c r="L139" s="335"/>
      <c r="M139" s="162">
        <f t="shared" si="20"/>
        <v>0</v>
      </c>
      <c r="N139" s="335"/>
      <c r="O139" s="162">
        <f t="shared" si="21"/>
        <v>0</v>
      </c>
      <c r="P139" s="162">
        <f t="shared" si="22"/>
        <v>0</v>
      </c>
    </row>
    <row r="140" spans="2:16">
      <c r="B140" s="9" t="str">
        <f t="shared" si="15"/>
        <v/>
      </c>
      <c r="C140" s="157">
        <f>IF(D93="","-",+C139+1)</f>
        <v>2059</v>
      </c>
      <c r="D140" s="158">
        <f>IF(F139+SUM(E$99:E139)=D$92,F139,D$92-SUM(E$99:E139))</f>
        <v>133929</v>
      </c>
      <c r="E140" s="164">
        <f t="shared" si="16"/>
        <v>44645</v>
      </c>
      <c r="F140" s="163">
        <f t="shared" si="17"/>
        <v>89284</v>
      </c>
      <c r="G140" s="163">
        <f t="shared" si="18"/>
        <v>111606.5</v>
      </c>
      <c r="H140" s="333">
        <f t="shared" si="10"/>
        <v>56110.957039068424</v>
      </c>
      <c r="I140" s="344">
        <f t="shared" si="11"/>
        <v>56110.957039068424</v>
      </c>
      <c r="J140" s="162">
        <f t="shared" si="19"/>
        <v>0</v>
      </c>
      <c r="K140" s="162"/>
      <c r="L140" s="335"/>
      <c r="M140" s="162">
        <f t="shared" si="20"/>
        <v>0</v>
      </c>
      <c r="N140" s="335"/>
      <c r="O140" s="162">
        <f t="shared" si="21"/>
        <v>0</v>
      </c>
      <c r="P140" s="162">
        <f t="shared" si="22"/>
        <v>0</v>
      </c>
    </row>
    <row r="141" spans="2:16">
      <c r="B141" s="9" t="str">
        <f t="shared" si="15"/>
        <v/>
      </c>
      <c r="C141" s="157">
        <f>IF(D93="","-",+C140+1)</f>
        <v>2060</v>
      </c>
      <c r="D141" s="158">
        <f>IF(F140+SUM(E$99:E140)=D$92,F140,D$92-SUM(E$99:E140))</f>
        <v>89284</v>
      </c>
      <c r="E141" s="164">
        <f t="shared" si="16"/>
        <v>44645</v>
      </c>
      <c r="F141" s="163">
        <f t="shared" si="17"/>
        <v>44639</v>
      </c>
      <c r="G141" s="163">
        <f t="shared" si="18"/>
        <v>66961.5</v>
      </c>
      <c r="H141" s="333">
        <f t="shared" si="10"/>
        <v>51524.327658080671</v>
      </c>
      <c r="I141" s="344">
        <f t="shared" si="11"/>
        <v>51524.327658080671</v>
      </c>
      <c r="J141" s="162">
        <f t="shared" si="19"/>
        <v>0</v>
      </c>
      <c r="K141" s="162"/>
      <c r="L141" s="335"/>
      <c r="M141" s="162">
        <f t="shared" si="20"/>
        <v>0</v>
      </c>
      <c r="N141" s="335"/>
      <c r="O141" s="162">
        <f t="shared" si="21"/>
        <v>0</v>
      </c>
      <c r="P141" s="162">
        <f t="shared" si="22"/>
        <v>0</v>
      </c>
    </row>
    <row r="142" spans="2:16">
      <c r="B142" s="9" t="str">
        <f t="shared" si="15"/>
        <v/>
      </c>
      <c r="C142" s="157">
        <f>IF(D93="","-",+C141+1)</f>
        <v>2061</v>
      </c>
      <c r="D142" s="158">
        <f>IF(F141+SUM(E$99:E141)=D$92,F141,D$92-SUM(E$99:E141))</f>
        <v>44639</v>
      </c>
      <c r="E142" s="164">
        <f t="shared" si="16"/>
        <v>44639</v>
      </c>
      <c r="F142" s="163">
        <f t="shared" si="17"/>
        <v>0</v>
      </c>
      <c r="G142" s="163">
        <f t="shared" si="18"/>
        <v>22319.5</v>
      </c>
      <c r="H142" s="333">
        <f t="shared" si="10"/>
        <v>46932.006483793397</v>
      </c>
      <c r="I142" s="344">
        <f t="shared" si="11"/>
        <v>46932.006483793397</v>
      </c>
      <c r="J142" s="162">
        <f t="shared" si="19"/>
        <v>0</v>
      </c>
      <c r="K142" s="162"/>
      <c r="L142" s="335"/>
      <c r="M142" s="162">
        <f t="shared" si="20"/>
        <v>0</v>
      </c>
      <c r="N142" s="335"/>
      <c r="O142" s="162">
        <f t="shared" si="21"/>
        <v>0</v>
      </c>
      <c r="P142" s="162">
        <f t="shared" si="22"/>
        <v>0</v>
      </c>
    </row>
    <row r="143" spans="2:16">
      <c r="B143" s="9" t="str">
        <f t="shared" si="15"/>
        <v/>
      </c>
      <c r="C143" s="157">
        <f>IF(D93="","-",+C142+1)</f>
        <v>2062</v>
      </c>
      <c r="D143" s="158">
        <f>IF(F142+SUM(E$99:E142)=D$92,F142,D$92-SUM(E$99:E142))</f>
        <v>0</v>
      </c>
      <c r="E143" s="164">
        <f t="shared" si="16"/>
        <v>0</v>
      </c>
      <c r="F143" s="163">
        <f t="shared" si="17"/>
        <v>0</v>
      </c>
      <c r="G143" s="163">
        <f t="shared" si="18"/>
        <v>0</v>
      </c>
      <c r="H143" s="333">
        <f t="shared" si="10"/>
        <v>0</v>
      </c>
      <c r="I143" s="344">
        <f t="shared" si="11"/>
        <v>0</v>
      </c>
      <c r="J143" s="162">
        <f t="shared" si="19"/>
        <v>0</v>
      </c>
      <c r="K143" s="162"/>
      <c r="L143" s="335"/>
      <c r="M143" s="162">
        <f t="shared" si="20"/>
        <v>0</v>
      </c>
      <c r="N143" s="335"/>
      <c r="O143" s="162">
        <f t="shared" si="21"/>
        <v>0</v>
      </c>
      <c r="P143" s="162">
        <f t="shared" si="22"/>
        <v>0</v>
      </c>
    </row>
    <row r="144" spans="2:16">
      <c r="B144" s="9" t="str">
        <f t="shared" si="15"/>
        <v/>
      </c>
      <c r="C144" s="157">
        <f>IF(D93="","-",+C143+1)</f>
        <v>2063</v>
      </c>
      <c r="D144" s="158">
        <f>IF(F143+SUM(E$99:E143)=D$92,F143,D$92-SUM(E$99:E143))</f>
        <v>0</v>
      </c>
      <c r="E144" s="164">
        <f t="shared" si="16"/>
        <v>0</v>
      </c>
      <c r="F144" s="163">
        <f t="shared" si="17"/>
        <v>0</v>
      </c>
      <c r="G144" s="163">
        <f t="shared" si="18"/>
        <v>0</v>
      </c>
      <c r="H144" s="333">
        <f t="shared" si="10"/>
        <v>0</v>
      </c>
      <c r="I144" s="344">
        <f t="shared" si="11"/>
        <v>0</v>
      </c>
      <c r="J144" s="162">
        <f t="shared" si="19"/>
        <v>0</v>
      </c>
      <c r="K144" s="162"/>
      <c r="L144" s="335"/>
      <c r="M144" s="162">
        <f t="shared" si="20"/>
        <v>0</v>
      </c>
      <c r="N144" s="335"/>
      <c r="O144" s="162">
        <f t="shared" si="21"/>
        <v>0</v>
      </c>
      <c r="P144" s="162">
        <f t="shared" si="22"/>
        <v>0</v>
      </c>
    </row>
    <row r="145" spans="2:16">
      <c r="B145" s="9" t="str">
        <f t="shared" si="15"/>
        <v/>
      </c>
      <c r="C145" s="157">
        <f>IF(D93="","-",+C144+1)</f>
        <v>2064</v>
      </c>
      <c r="D145" s="158">
        <f>IF(F144+SUM(E$99:E144)=D$92,F144,D$92-SUM(E$99:E144))</f>
        <v>0</v>
      </c>
      <c r="E145" s="164">
        <f t="shared" si="16"/>
        <v>0</v>
      </c>
      <c r="F145" s="163">
        <f t="shared" si="17"/>
        <v>0</v>
      </c>
      <c r="G145" s="163">
        <f t="shared" si="18"/>
        <v>0</v>
      </c>
      <c r="H145" s="333">
        <f t="shared" si="10"/>
        <v>0</v>
      </c>
      <c r="I145" s="344">
        <f t="shared" si="11"/>
        <v>0</v>
      </c>
      <c r="J145" s="162">
        <f t="shared" si="19"/>
        <v>0</v>
      </c>
      <c r="K145" s="162"/>
      <c r="L145" s="335"/>
      <c r="M145" s="162">
        <f t="shared" si="20"/>
        <v>0</v>
      </c>
      <c r="N145" s="335"/>
      <c r="O145" s="162">
        <f t="shared" si="21"/>
        <v>0</v>
      </c>
      <c r="P145" s="162">
        <f t="shared" si="22"/>
        <v>0</v>
      </c>
    </row>
    <row r="146" spans="2:16">
      <c r="B146" s="9" t="str">
        <f t="shared" si="15"/>
        <v/>
      </c>
      <c r="C146" s="157">
        <f>IF(D93="","-",+C145+1)</f>
        <v>2065</v>
      </c>
      <c r="D146" s="158">
        <f>IF(F145+SUM(E$99:E145)=D$92,F145,D$92-SUM(E$99:E145))</f>
        <v>0</v>
      </c>
      <c r="E146" s="164">
        <f t="shared" si="16"/>
        <v>0</v>
      </c>
      <c r="F146" s="163">
        <f t="shared" si="17"/>
        <v>0</v>
      </c>
      <c r="G146" s="163">
        <f t="shared" si="18"/>
        <v>0</v>
      </c>
      <c r="H146" s="333">
        <f t="shared" si="10"/>
        <v>0</v>
      </c>
      <c r="I146" s="344">
        <f t="shared" si="11"/>
        <v>0</v>
      </c>
      <c r="J146" s="162">
        <f t="shared" si="19"/>
        <v>0</v>
      </c>
      <c r="K146" s="162"/>
      <c r="L146" s="335"/>
      <c r="M146" s="162">
        <f t="shared" si="20"/>
        <v>0</v>
      </c>
      <c r="N146" s="335"/>
      <c r="O146" s="162">
        <f t="shared" si="21"/>
        <v>0</v>
      </c>
      <c r="P146" s="162">
        <f t="shared" si="22"/>
        <v>0</v>
      </c>
    </row>
    <row r="147" spans="2:16">
      <c r="B147" s="9" t="str">
        <f t="shared" si="15"/>
        <v/>
      </c>
      <c r="C147" s="157">
        <f>IF(D93="","-",+C146+1)</f>
        <v>2066</v>
      </c>
      <c r="D147" s="158">
        <f>IF(F146+SUM(E$99:E146)=D$92,F146,D$92-SUM(E$99:E146))</f>
        <v>0</v>
      </c>
      <c r="E147" s="164">
        <f t="shared" si="16"/>
        <v>0</v>
      </c>
      <c r="F147" s="163">
        <f t="shared" si="17"/>
        <v>0</v>
      </c>
      <c r="G147" s="163">
        <f t="shared" si="18"/>
        <v>0</v>
      </c>
      <c r="H147" s="333">
        <f t="shared" si="10"/>
        <v>0</v>
      </c>
      <c r="I147" s="344">
        <f t="shared" si="11"/>
        <v>0</v>
      </c>
      <c r="J147" s="162">
        <f t="shared" si="19"/>
        <v>0</v>
      </c>
      <c r="K147" s="162"/>
      <c r="L147" s="335"/>
      <c r="M147" s="162">
        <f t="shared" si="20"/>
        <v>0</v>
      </c>
      <c r="N147" s="335"/>
      <c r="O147" s="162">
        <f t="shared" si="21"/>
        <v>0</v>
      </c>
      <c r="P147" s="162">
        <f t="shared" si="22"/>
        <v>0</v>
      </c>
    </row>
    <row r="148" spans="2:16">
      <c r="B148" s="9" t="str">
        <f t="shared" si="15"/>
        <v/>
      </c>
      <c r="C148" s="157">
        <f>IF(D93="","-",+C147+1)</f>
        <v>2067</v>
      </c>
      <c r="D148" s="158">
        <f>IF(F147+SUM(E$99:E147)=D$92,F147,D$92-SUM(E$99:E147))</f>
        <v>0</v>
      </c>
      <c r="E148" s="164">
        <f t="shared" si="16"/>
        <v>0</v>
      </c>
      <c r="F148" s="163">
        <f t="shared" si="17"/>
        <v>0</v>
      </c>
      <c r="G148" s="163">
        <f t="shared" si="18"/>
        <v>0</v>
      </c>
      <c r="H148" s="333">
        <f t="shared" si="10"/>
        <v>0</v>
      </c>
      <c r="I148" s="344">
        <f t="shared" si="11"/>
        <v>0</v>
      </c>
      <c r="J148" s="162">
        <f t="shared" si="19"/>
        <v>0</v>
      </c>
      <c r="K148" s="162"/>
      <c r="L148" s="335"/>
      <c r="M148" s="162">
        <f t="shared" si="20"/>
        <v>0</v>
      </c>
      <c r="N148" s="335"/>
      <c r="O148" s="162">
        <f t="shared" si="21"/>
        <v>0</v>
      </c>
      <c r="P148" s="162">
        <f t="shared" si="22"/>
        <v>0</v>
      </c>
    </row>
    <row r="149" spans="2:16">
      <c r="B149" s="9" t="str">
        <f t="shared" si="15"/>
        <v/>
      </c>
      <c r="C149" s="157">
        <f>IF(D93="","-",+C148+1)</f>
        <v>2068</v>
      </c>
      <c r="D149" s="158">
        <f>IF(F148+SUM(E$99:E148)=D$92,F148,D$92-SUM(E$99:E148))</f>
        <v>0</v>
      </c>
      <c r="E149" s="164">
        <f t="shared" si="16"/>
        <v>0</v>
      </c>
      <c r="F149" s="163">
        <f t="shared" si="17"/>
        <v>0</v>
      </c>
      <c r="G149" s="163">
        <f t="shared" si="18"/>
        <v>0</v>
      </c>
      <c r="H149" s="333">
        <f t="shared" si="10"/>
        <v>0</v>
      </c>
      <c r="I149" s="344">
        <f t="shared" si="11"/>
        <v>0</v>
      </c>
      <c r="J149" s="162">
        <f t="shared" si="19"/>
        <v>0</v>
      </c>
      <c r="K149" s="162"/>
      <c r="L149" s="335"/>
      <c r="M149" s="162">
        <f t="shared" si="20"/>
        <v>0</v>
      </c>
      <c r="N149" s="335"/>
      <c r="O149" s="162">
        <f t="shared" si="21"/>
        <v>0</v>
      </c>
      <c r="P149" s="162">
        <f t="shared" si="22"/>
        <v>0</v>
      </c>
    </row>
    <row r="150" spans="2:16">
      <c r="B150" s="9" t="str">
        <f t="shared" si="15"/>
        <v/>
      </c>
      <c r="C150" s="157">
        <f>IF(D93="","-",+C149+1)</f>
        <v>2069</v>
      </c>
      <c r="D150" s="158">
        <f>IF(F149+SUM(E$99:E149)=D$92,F149,D$92-SUM(E$99:E149))</f>
        <v>0</v>
      </c>
      <c r="E150" s="164">
        <f t="shared" si="16"/>
        <v>0</v>
      </c>
      <c r="F150" s="163">
        <f t="shared" si="17"/>
        <v>0</v>
      </c>
      <c r="G150" s="163">
        <f t="shared" si="18"/>
        <v>0</v>
      </c>
      <c r="H150" s="333">
        <f t="shared" si="10"/>
        <v>0</v>
      </c>
      <c r="I150" s="344">
        <f t="shared" si="11"/>
        <v>0</v>
      </c>
      <c r="J150" s="162">
        <f t="shared" si="19"/>
        <v>0</v>
      </c>
      <c r="K150" s="162"/>
      <c r="L150" s="335"/>
      <c r="M150" s="162">
        <f t="shared" si="20"/>
        <v>0</v>
      </c>
      <c r="N150" s="335"/>
      <c r="O150" s="162">
        <f t="shared" si="21"/>
        <v>0</v>
      </c>
      <c r="P150" s="162">
        <f t="shared" si="22"/>
        <v>0</v>
      </c>
    </row>
    <row r="151" spans="2:16">
      <c r="B151" s="9" t="str">
        <f t="shared" si="15"/>
        <v/>
      </c>
      <c r="C151" s="157">
        <f>IF(D93="","-",+C150+1)</f>
        <v>2070</v>
      </c>
      <c r="D151" s="158">
        <f>IF(F150+SUM(E$99:E150)=D$92,F150,D$92-SUM(E$99:E150))</f>
        <v>0</v>
      </c>
      <c r="E151" s="164">
        <f t="shared" si="16"/>
        <v>0</v>
      </c>
      <c r="F151" s="163">
        <f t="shared" si="17"/>
        <v>0</v>
      </c>
      <c r="G151" s="163">
        <f t="shared" si="18"/>
        <v>0</v>
      </c>
      <c r="H151" s="333">
        <f t="shared" si="10"/>
        <v>0</v>
      </c>
      <c r="I151" s="344">
        <f t="shared" si="11"/>
        <v>0</v>
      </c>
      <c r="J151" s="162">
        <f t="shared" si="19"/>
        <v>0</v>
      </c>
      <c r="K151" s="162"/>
      <c r="L151" s="335"/>
      <c r="M151" s="162">
        <f t="shared" si="20"/>
        <v>0</v>
      </c>
      <c r="N151" s="335"/>
      <c r="O151" s="162">
        <f t="shared" si="21"/>
        <v>0</v>
      </c>
      <c r="P151" s="162">
        <f t="shared" si="22"/>
        <v>0</v>
      </c>
    </row>
    <row r="152" spans="2:16">
      <c r="B152" s="9" t="str">
        <f t="shared" si="15"/>
        <v/>
      </c>
      <c r="C152" s="157">
        <f>IF(D93="","-",+C151+1)</f>
        <v>2071</v>
      </c>
      <c r="D152" s="158">
        <f>IF(F151+SUM(E$99:E151)=D$92,F151,D$92-SUM(E$99:E151))</f>
        <v>0</v>
      </c>
      <c r="E152" s="164">
        <f t="shared" si="16"/>
        <v>0</v>
      </c>
      <c r="F152" s="163">
        <f t="shared" si="17"/>
        <v>0</v>
      </c>
      <c r="G152" s="163">
        <f t="shared" si="18"/>
        <v>0</v>
      </c>
      <c r="H152" s="333">
        <f t="shared" si="10"/>
        <v>0</v>
      </c>
      <c r="I152" s="344">
        <f t="shared" si="11"/>
        <v>0</v>
      </c>
      <c r="J152" s="162">
        <f t="shared" si="19"/>
        <v>0</v>
      </c>
      <c r="K152" s="162"/>
      <c r="L152" s="335"/>
      <c r="M152" s="162">
        <f t="shared" si="20"/>
        <v>0</v>
      </c>
      <c r="N152" s="335"/>
      <c r="O152" s="162">
        <f t="shared" si="21"/>
        <v>0</v>
      </c>
      <c r="P152" s="162">
        <f t="shared" si="22"/>
        <v>0</v>
      </c>
    </row>
    <row r="153" spans="2:16">
      <c r="B153" s="9" t="str">
        <f t="shared" si="15"/>
        <v/>
      </c>
      <c r="C153" s="157">
        <f>IF(D93="","-",+C152+1)</f>
        <v>2072</v>
      </c>
      <c r="D153" s="158">
        <f>IF(F152+SUM(E$99:E152)=D$92,F152,D$92-SUM(E$99:E152))</f>
        <v>0</v>
      </c>
      <c r="E153" s="164">
        <f t="shared" si="16"/>
        <v>0</v>
      </c>
      <c r="F153" s="163">
        <f t="shared" si="17"/>
        <v>0</v>
      </c>
      <c r="G153" s="163">
        <f t="shared" si="18"/>
        <v>0</v>
      </c>
      <c r="H153" s="333">
        <f t="shared" si="10"/>
        <v>0</v>
      </c>
      <c r="I153" s="344">
        <f t="shared" si="11"/>
        <v>0</v>
      </c>
      <c r="J153" s="162">
        <f t="shared" si="19"/>
        <v>0</v>
      </c>
      <c r="K153" s="162"/>
      <c r="L153" s="335"/>
      <c r="M153" s="162">
        <f t="shared" si="20"/>
        <v>0</v>
      </c>
      <c r="N153" s="335"/>
      <c r="O153" s="162">
        <f t="shared" si="21"/>
        <v>0</v>
      </c>
      <c r="P153" s="162">
        <f t="shared" si="22"/>
        <v>0</v>
      </c>
    </row>
    <row r="154" spans="2:16" ht="13.5" thickBot="1">
      <c r="B154" s="9" t="str">
        <f t="shared" si="15"/>
        <v/>
      </c>
      <c r="C154" s="168">
        <f>IF(D93="","-",+C153+1)</f>
        <v>2073</v>
      </c>
      <c r="D154" s="219">
        <f>IF(F153+SUM(E$99:E153)=D$92,F153,D$92-SUM(E$99:E153))</f>
        <v>0</v>
      </c>
      <c r="E154" s="170">
        <f t="shared" si="16"/>
        <v>0</v>
      </c>
      <c r="F154" s="169">
        <f t="shared" si="17"/>
        <v>0</v>
      </c>
      <c r="G154" s="169">
        <f t="shared" si="18"/>
        <v>0</v>
      </c>
      <c r="H154" s="345">
        <f t="shared" si="10"/>
        <v>0</v>
      </c>
      <c r="I154" s="346">
        <f t="shared" si="11"/>
        <v>0</v>
      </c>
      <c r="J154" s="173">
        <f t="shared" si="19"/>
        <v>0</v>
      </c>
      <c r="K154" s="162"/>
      <c r="L154" s="336"/>
      <c r="M154" s="173">
        <f t="shared" si="20"/>
        <v>0</v>
      </c>
      <c r="N154" s="336"/>
      <c r="O154" s="173">
        <f t="shared" si="21"/>
        <v>0</v>
      </c>
      <c r="P154" s="173">
        <f t="shared" si="22"/>
        <v>0</v>
      </c>
    </row>
    <row r="155" spans="2:16">
      <c r="C155" s="158" t="s">
        <v>72</v>
      </c>
      <c r="D155" s="115"/>
      <c r="E155" s="115">
        <f>SUM(E99:E154)</f>
        <v>1919729</v>
      </c>
      <c r="F155" s="115"/>
      <c r="G155" s="115"/>
      <c r="H155" s="115">
        <f>SUM(H99:H154)</f>
        <v>6232347.6024091477</v>
      </c>
      <c r="I155" s="115">
        <f>SUM(I99:I154)</f>
        <v>6232347.6024091477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conditionalFormatting sqref="C17:C72">
    <cfRule type="cellIs" dxfId="19" priority="1" stopIfTrue="1" operator="equal">
      <formula>$I$10</formula>
    </cfRule>
  </conditionalFormatting>
  <conditionalFormatting sqref="C99:C154">
    <cfRule type="cellIs" dxfId="18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/>
  <dimension ref="A1:P162"/>
  <sheetViews>
    <sheetView view="pageBreakPreview" topLeftCell="A79" zoomScale="78" zoomScaleNormal="100" zoomScaleSheetLayoutView="78" workbookViewId="0">
      <selection activeCell="D99" sqref="D99:I100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"&amp;RIGHT(MID(CELL("filename",$A$1),FIND("]",CELL("filename",$A$1))+1,256),2)&amp;" of "&amp;COUNT('P.001:P.xyz - blank'!$P$3)-1</f>
        <v>PSO Project 21 of 28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275</v>
      </c>
      <c r="L5" s="119"/>
      <c r="M5" s="120"/>
      <c r="N5" s="121">
        <f>VLOOKUP(I10,C17:I72,5)</f>
        <v>41623.00118882845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276</v>
      </c>
      <c r="L6" s="125"/>
      <c r="M6" s="4"/>
      <c r="N6" s="126">
        <f>VLOOKUP(I10,C17:I72,6)</f>
        <v>41623.00118882845</v>
      </c>
      <c r="O6" s="1"/>
      <c r="P6" s="1"/>
    </row>
    <row r="7" spans="1:16" ht="13.5" thickBot="1">
      <c r="C7" s="127" t="s">
        <v>41</v>
      </c>
      <c r="D7" s="227" t="s">
        <v>270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 t="str">
        <f>IF(D10&lt;100000,"DOES NOT MEET SPP $100,000 MINIMUM INVESTMENT FOR REGIONAL BPU SHARING.","")</f>
        <v/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43</v>
      </c>
      <c r="D9" s="229"/>
      <c r="E9" s="427" t="s">
        <v>294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330872</v>
      </c>
      <c r="E10" s="64" t="s">
        <v>46</v>
      </c>
      <c r="F10" s="137"/>
      <c r="G10" s="139"/>
      <c r="H10" s="139"/>
      <c r="I10" s="140">
        <f>+PSO.WS.F.BPU.ATRR.Projected!L19</f>
        <v>2020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2017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6</v>
      </c>
      <c r="E12" s="141" t="s">
        <v>51</v>
      </c>
      <c r="F12" s="139"/>
      <c r="G12" s="7"/>
      <c r="H12" s="7"/>
      <c r="I12" s="145">
        <f>PSO.WS.F.BPU.ATRR.Projected!$F$81</f>
        <v>0.10800477690995318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42</v>
      </c>
      <c r="E13" s="141" t="s">
        <v>54</v>
      </c>
      <c r="F13" s="139"/>
      <c r="G13" s="7"/>
      <c r="H13" s="7"/>
      <c r="I13" s="145">
        <f>IF(G5="",I12,PSO.WS.F.BPU.ATRR.Projected!$F$80)</f>
        <v>0.10800477690995318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7877.9047619047615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277</v>
      </c>
      <c r="H15" s="362" t="s">
        <v>278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2017</v>
      </c>
      <c r="D17" s="464">
        <v>0</v>
      </c>
      <c r="E17" s="467">
        <v>2847.8260869565215</v>
      </c>
      <c r="F17" s="465">
        <v>259152.17391304349</v>
      </c>
      <c r="G17" s="467">
        <v>19337.763747649027</v>
      </c>
      <c r="H17" s="466">
        <v>19337.763747649027</v>
      </c>
      <c r="I17" s="160">
        <f t="shared" ref="I17:I72" si="0">H17-G17</f>
        <v>0</v>
      </c>
      <c r="J17" s="160"/>
      <c r="K17" s="337">
        <f>+G17</f>
        <v>19337.763747649027</v>
      </c>
      <c r="L17" s="161">
        <f t="shared" ref="L17:L72" si="1">IF(K17&lt;&gt;0,+G17-K17,0)</f>
        <v>0</v>
      </c>
      <c r="M17" s="337">
        <f>+H17</f>
        <v>19337.763747649027</v>
      </c>
      <c r="N17" s="161">
        <f t="shared" ref="N17:N72" si="2">IF(M17&lt;&gt;0,+H17-M17,0)</f>
        <v>0</v>
      </c>
      <c r="O17" s="162">
        <f t="shared" ref="O17:O72" si="3">+N17-L17</f>
        <v>0</v>
      </c>
      <c r="P17" s="4"/>
    </row>
    <row r="18" spans="2:16">
      <c r="B18" s="9" t="str">
        <f>IF(D18=F17,"","IU")</f>
        <v/>
      </c>
      <c r="C18" s="157">
        <f>IF(D11="","-",+C17+1)</f>
        <v>2018</v>
      </c>
      <c r="D18" s="419">
        <v>259152.17391304349</v>
      </c>
      <c r="E18" s="420">
        <v>5822.2222222222226</v>
      </c>
      <c r="F18" s="419">
        <v>253329.95169082127</v>
      </c>
      <c r="G18" s="420">
        <v>40500.711549338856</v>
      </c>
      <c r="H18" s="424">
        <v>40500.711549338856</v>
      </c>
      <c r="I18" s="160">
        <f t="shared" si="0"/>
        <v>0</v>
      </c>
      <c r="J18" s="160"/>
      <c r="K18" s="338">
        <f>G18</f>
        <v>40500.711549338856</v>
      </c>
      <c r="L18" s="439">
        <f>IF(K18&lt;&gt;0,+G18-K18,0)</f>
        <v>0</v>
      </c>
      <c r="M18" s="338">
        <f>H18</f>
        <v>40500.711549338856</v>
      </c>
      <c r="N18" s="162">
        <f>IF(M18&lt;&gt;0,+H18-M18,0)</f>
        <v>0</v>
      </c>
      <c r="O18" s="160">
        <f>+N18-L18</f>
        <v>0</v>
      </c>
      <c r="P18" s="4"/>
    </row>
    <row r="19" spans="2:16">
      <c r="B19" s="9" t="str">
        <f>IF(D19=F18,"","IU")</f>
        <v/>
      </c>
      <c r="C19" s="157">
        <f>IF(D11="","-",+C18+1)</f>
        <v>2019</v>
      </c>
      <c r="D19" s="419">
        <v>253329.95169082127</v>
      </c>
      <c r="E19" s="420">
        <v>5822.2222222222226</v>
      </c>
      <c r="F19" s="419">
        <v>247507.72946859905</v>
      </c>
      <c r="G19" s="420">
        <v>39712.758717011195</v>
      </c>
      <c r="H19" s="424">
        <v>39712.758717011195</v>
      </c>
      <c r="I19" s="160">
        <f t="shared" si="0"/>
        <v>0</v>
      </c>
      <c r="J19" s="160"/>
      <c r="K19" s="338">
        <f>G19</f>
        <v>39712.758717011195</v>
      </c>
      <c r="L19" s="439">
        <f>IF(K19&lt;&gt;0,+G19-K19,0)</f>
        <v>0</v>
      </c>
      <c r="M19" s="338">
        <f>H19</f>
        <v>39712.758717011195</v>
      </c>
      <c r="N19" s="162">
        <f>IF(M19&lt;&gt;0,+H19-M19,0)</f>
        <v>0</v>
      </c>
      <c r="O19" s="160">
        <f>+N19-L19</f>
        <v>0</v>
      </c>
      <c r="P19" s="4"/>
    </row>
    <row r="20" spans="2:16">
      <c r="B20" s="9" t="str">
        <f t="shared" ref="B20:B72" si="4">IF(D20=F19,"","IU")</f>
        <v>IU</v>
      </c>
      <c r="C20" s="157">
        <f>IF(D11="","-",+C19+1)</f>
        <v>2020</v>
      </c>
      <c r="D20" s="166">
        <f>IF(F19+SUM(E$17:E19)=D$10,F19,D$10-SUM(E$17:E19))</f>
        <v>316379.72946859902</v>
      </c>
      <c r="E20" s="164">
        <f t="shared" ref="E20:E72" si="5">IF(+I$14&lt;F19,I$14,D20)</f>
        <v>7877.9047619047615</v>
      </c>
      <c r="F20" s="163">
        <f t="shared" ref="F20:F72" si="6">+D20-E20</f>
        <v>308501.82470669429</v>
      </c>
      <c r="G20" s="165">
        <f t="shared" ref="G20:G72" si="7">(D20+F20)/2*I$12+E20</f>
        <v>41623.00118882845</v>
      </c>
      <c r="H20" s="147">
        <f t="shared" ref="H20:H72" si="8">+(D20+F20)/2*I$13+E20</f>
        <v>41623.00118882845</v>
      </c>
      <c r="I20" s="160">
        <f t="shared" si="0"/>
        <v>0</v>
      </c>
      <c r="J20" s="160"/>
      <c r="K20" s="335"/>
      <c r="L20" s="162">
        <f t="shared" si="1"/>
        <v>0</v>
      </c>
      <c r="M20" s="335"/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4"/>
        <v/>
      </c>
      <c r="C21" s="157">
        <f>IF(D11="","-",+C20+1)</f>
        <v>2021</v>
      </c>
      <c r="D21" s="166">
        <f>IF(F20+SUM(E$17:E20)=D$10,F20,D$10-SUM(E$17:E20))</f>
        <v>308501.82470669429</v>
      </c>
      <c r="E21" s="164">
        <f t="shared" si="5"/>
        <v>7877.9047619047615</v>
      </c>
      <c r="F21" s="163">
        <f t="shared" si="6"/>
        <v>300623.91994478955</v>
      </c>
      <c r="G21" s="165">
        <f t="shared" si="7"/>
        <v>40772.149842501072</v>
      </c>
      <c r="H21" s="147">
        <f t="shared" si="8"/>
        <v>40772.149842501072</v>
      </c>
      <c r="I21" s="160">
        <f t="shared" si="0"/>
        <v>0</v>
      </c>
      <c r="J21" s="160"/>
      <c r="K21" s="335"/>
      <c r="L21" s="162">
        <f t="shared" si="1"/>
        <v>0</v>
      </c>
      <c r="M21" s="335"/>
      <c r="N21" s="162">
        <f t="shared" si="2"/>
        <v>0</v>
      </c>
      <c r="O21" s="162">
        <f t="shared" si="3"/>
        <v>0</v>
      </c>
      <c r="P21" s="4"/>
    </row>
    <row r="22" spans="2:16">
      <c r="B22" s="9" t="str">
        <f t="shared" si="4"/>
        <v/>
      </c>
      <c r="C22" s="157">
        <f>IF(D11="","-",+C21+1)</f>
        <v>2022</v>
      </c>
      <c r="D22" s="166">
        <f>IF(F21+SUM(E$17:E21)=D$10,F21,D$10-SUM(E$17:E21))</f>
        <v>300623.91994478955</v>
      </c>
      <c r="E22" s="164">
        <f t="shared" si="5"/>
        <v>7877.9047619047615</v>
      </c>
      <c r="F22" s="163">
        <f t="shared" si="6"/>
        <v>292746.01518288482</v>
      </c>
      <c r="G22" s="165">
        <f t="shared" si="7"/>
        <v>39921.298496173695</v>
      </c>
      <c r="H22" s="147">
        <f t="shared" si="8"/>
        <v>39921.298496173695</v>
      </c>
      <c r="I22" s="160">
        <f t="shared" si="0"/>
        <v>0</v>
      </c>
      <c r="J22" s="160"/>
      <c r="K22" s="335"/>
      <c r="L22" s="162">
        <f t="shared" si="1"/>
        <v>0</v>
      </c>
      <c r="M22" s="335"/>
      <c r="N22" s="162">
        <f t="shared" si="2"/>
        <v>0</v>
      </c>
      <c r="O22" s="162">
        <f t="shared" si="3"/>
        <v>0</v>
      </c>
      <c r="P22" s="4"/>
    </row>
    <row r="23" spans="2:16">
      <c r="B23" s="9" t="str">
        <f t="shared" si="4"/>
        <v/>
      </c>
      <c r="C23" s="157">
        <f>IF(D11="","-",+C22+1)</f>
        <v>2023</v>
      </c>
      <c r="D23" s="166">
        <f>IF(F22+SUM(E$17:E22)=D$10,F22,D$10-SUM(E$17:E22))</f>
        <v>292746.01518288482</v>
      </c>
      <c r="E23" s="164">
        <f t="shared" si="5"/>
        <v>7877.9047619047615</v>
      </c>
      <c r="F23" s="163">
        <f t="shared" si="6"/>
        <v>284868.11042098008</v>
      </c>
      <c r="G23" s="165">
        <f t="shared" si="7"/>
        <v>39070.44714984631</v>
      </c>
      <c r="H23" s="147">
        <f t="shared" si="8"/>
        <v>39070.44714984631</v>
      </c>
      <c r="I23" s="160">
        <f t="shared" si="0"/>
        <v>0</v>
      </c>
      <c r="J23" s="160"/>
      <c r="K23" s="335"/>
      <c r="L23" s="162">
        <f t="shared" si="1"/>
        <v>0</v>
      </c>
      <c r="M23" s="335"/>
      <c r="N23" s="162">
        <f t="shared" si="2"/>
        <v>0</v>
      </c>
      <c r="O23" s="162">
        <f t="shared" si="3"/>
        <v>0</v>
      </c>
      <c r="P23" s="4"/>
    </row>
    <row r="24" spans="2:16">
      <c r="B24" s="9" t="str">
        <f t="shared" si="4"/>
        <v/>
      </c>
      <c r="C24" s="157">
        <f>IF(D11="","-",+C23+1)</f>
        <v>2024</v>
      </c>
      <c r="D24" s="166">
        <f>IF(F23+SUM(E$17:E23)=D$10,F23,D$10-SUM(E$17:E23))</f>
        <v>284868.11042098008</v>
      </c>
      <c r="E24" s="164">
        <f t="shared" si="5"/>
        <v>7877.9047619047615</v>
      </c>
      <c r="F24" s="163">
        <f t="shared" si="6"/>
        <v>276990.20565907535</v>
      </c>
      <c r="G24" s="165">
        <f t="shared" si="7"/>
        <v>38219.595803518932</v>
      </c>
      <c r="H24" s="147">
        <f t="shared" si="8"/>
        <v>38219.595803518932</v>
      </c>
      <c r="I24" s="160">
        <f t="shared" si="0"/>
        <v>0</v>
      </c>
      <c r="J24" s="160"/>
      <c r="K24" s="335"/>
      <c r="L24" s="162">
        <f t="shared" si="1"/>
        <v>0</v>
      </c>
      <c r="M24" s="335"/>
      <c r="N24" s="162">
        <f t="shared" si="2"/>
        <v>0</v>
      </c>
      <c r="O24" s="162">
        <f t="shared" si="3"/>
        <v>0</v>
      </c>
      <c r="P24" s="4"/>
    </row>
    <row r="25" spans="2:16">
      <c r="B25" s="9" t="str">
        <f t="shared" si="4"/>
        <v/>
      </c>
      <c r="C25" s="157">
        <f>IF(D11="","-",+C24+1)</f>
        <v>2025</v>
      </c>
      <c r="D25" s="166">
        <f>IF(F24+SUM(E$17:E24)=D$10,F24,D$10-SUM(E$17:E24))</f>
        <v>276990.20565907535</v>
      </c>
      <c r="E25" s="164">
        <f t="shared" si="5"/>
        <v>7877.9047619047615</v>
      </c>
      <c r="F25" s="163">
        <f t="shared" si="6"/>
        <v>269112.30089717061</v>
      </c>
      <c r="G25" s="165">
        <f t="shared" si="7"/>
        <v>37368.744457191555</v>
      </c>
      <c r="H25" s="147">
        <f t="shared" si="8"/>
        <v>37368.744457191555</v>
      </c>
      <c r="I25" s="160">
        <f t="shared" si="0"/>
        <v>0</v>
      </c>
      <c r="J25" s="160"/>
      <c r="K25" s="335"/>
      <c r="L25" s="162">
        <f t="shared" si="1"/>
        <v>0</v>
      </c>
      <c r="M25" s="335"/>
      <c r="N25" s="162">
        <f t="shared" si="2"/>
        <v>0</v>
      </c>
      <c r="O25" s="162">
        <f t="shared" si="3"/>
        <v>0</v>
      </c>
      <c r="P25" s="4"/>
    </row>
    <row r="26" spans="2:16">
      <c r="B26" s="9" t="str">
        <f t="shared" si="4"/>
        <v/>
      </c>
      <c r="C26" s="157">
        <f>IF(D11="","-",+C25+1)</f>
        <v>2026</v>
      </c>
      <c r="D26" s="166">
        <f>IF(F25+SUM(E$17:E25)=D$10,F25,D$10-SUM(E$17:E25))</f>
        <v>269112.30089717061</v>
      </c>
      <c r="E26" s="164">
        <f t="shared" si="5"/>
        <v>7877.9047619047615</v>
      </c>
      <c r="F26" s="163">
        <f t="shared" si="6"/>
        <v>261234.39613526585</v>
      </c>
      <c r="G26" s="165">
        <f t="shared" si="7"/>
        <v>36517.893110864177</v>
      </c>
      <c r="H26" s="147">
        <f t="shared" si="8"/>
        <v>36517.893110864177</v>
      </c>
      <c r="I26" s="160">
        <f t="shared" si="0"/>
        <v>0</v>
      </c>
      <c r="J26" s="160"/>
      <c r="K26" s="335"/>
      <c r="L26" s="162">
        <f t="shared" si="1"/>
        <v>0</v>
      </c>
      <c r="M26" s="335"/>
      <c r="N26" s="162">
        <f t="shared" si="2"/>
        <v>0</v>
      </c>
      <c r="O26" s="162">
        <f t="shared" si="3"/>
        <v>0</v>
      </c>
      <c r="P26" s="4"/>
    </row>
    <row r="27" spans="2:16">
      <c r="B27" s="9" t="str">
        <f t="shared" si="4"/>
        <v/>
      </c>
      <c r="C27" s="157">
        <f>IF(D11="","-",+C26+1)</f>
        <v>2027</v>
      </c>
      <c r="D27" s="166">
        <f>IF(F26+SUM(E$17:E26)=D$10,F26,D$10-SUM(E$17:E26))</f>
        <v>261234.39613526585</v>
      </c>
      <c r="E27" s="164">
        <f t="shared" si="5"/>
        <v>7877.9047619047615</v>
      </c>
      <c r="F27" s="163">
        <f t="shared" si="6"/>
        <v>253356.49137336109</v>
      </c>
      <c r="G27" s="165">
        <f t="shared" si="7"/>
        <v>35667.041764536792</v>
      </c>
      <c r="H27" s="147">
        <f t="shared" si="8"/>
        <v>35667.041764536792</v>
      </c>
      <c r="I27" s="160">
        <f t="shared" si="0"/>
        <v>0</v>
      </c>
      <c r="J27" s="160"/>
      <c r="K27" s="335"/>
      <c r="L27" s="162">
        <f t="shared" si="1"/>
        <v>0</v>
      </c>
      <c r="M27" s="335"/>
      <c r="N27" s="162">
        <f t="shared" si="2"/>
        <v>0</v>
      </c>
      <c r="O27" s="162">
        <f t="shared" si="3"/>
        <v>0</v>
      </c>
      <c r="P27" s="4"/>
    </row>
    <row r="28" spans="2:16">
      <c r="B28" s="9" t="str">
        <f t="shared" si="4"/>
        <v/>
      </c>
      <c r="C28" s="157">
        <f>IF(D11="","-",+C27+1)</f>
        <v>2028</v>
      </c>
      <c r="D28" s="166">
        <f>IF(F27+SUM(E$17:E27)=D$10,F27,D$10-SUM(E$17:E27))</f>
        <v>253356.49137336109</v>
      </c>
      <c r="E28" s="164">
        <f t="shared" si="5"/>
        <v>7877.9047619047615</v>
      </c>
      <c r="F28" s="163">
        <f t="shared" si="6"/>
        <v>245478.58661145633</v>
      </c>
      <c r="G28" s="165">
        <f t="shared" si="7"/>
        <v>34816.190418209415</v>
      </c>
      <c r="H28" s="147">
        <f t="shared" si="8"/>
        <v>34816.190418209415</v>
      </c>
      <c r="I28" s="160">
        <f t="shared" si="0"/>
        <v>0</v>
      </c>
      <c r="J28" s="160"/>
      <c r="K28" s="335"/>
      <c r="L28" s="162">
        <f t="shared" si="1"/>
        <v>0</v>
      </c>
      <c r="M28" s="335"/>
      <c r="N28" s="162">
        <f t="shared" si="2"/>
        <v>0</v>
      </c>
      <c r="O28" s="162">
        <f t="shared" si="3"/>
        <v>0</v>
      </c>
      <c r="P28" s="4"/>
    </row>
    <row r="29" spans="2:16">
      <c r="B29" s="9" t="str">
        <f t="shared" si="4"/>
        <v/>
      </c>
      <c r="C29" s="157">
        <f>IF(D11="","-",+C28+1)</f>
        <v>2029</v>
      </c>
      <c r="D29" s="166">
        <f>IF(F28+SUM(E$17:E28)=D$10,F28,D$10-SUM(E$17:E28))</f>
        <v>245478.58661145633</v>
      </c>
      <c r="E29" s="164">
        <f t="shared" si="5"/>
        <v>7877.9047619047615</v>
      </c>
      <c r="F29" s="163">
        <f t="shared" si="6"/>
        <v>237600.68184955156</v>
      </c>
      <c r="G29" s="165">
        <f t="shared" si="7"/>
        <v>33965.33907188203</v>
      </c>
      <c r="H29" s="147">
        <f t="shared" si="8"/>
        <v>33965.33907188203</v>
      </c>
      <c r="I29" s="160">
        <f t="shared" si="0"/>
        <v>0</v>
      </c>
      <c r="J29" s="160"/>
      <c r="K29" s="335"/>
      <c r="L29" s="162">
        <f t="shared" si="1"/>
        <v>0</v>
      </c>
      <c r="M29" s="335"/>
      <c r="N29" s="162">
        <f t="shared" si="2"/>
        <v>0</v>
      </c>
      <c r="O29" s="162">
        <f t="shared" si="3"/>
        <v>0</v>
      </c>
      <c r="P29" s="4"/>
    </row>
    <row r="30" spans="2:16">
      <c r="B30" s="9" t="str">
        <f t="shared" si="4"/>
        <v/>
      </c>
      <c r="C30" s="157">
        <f>IF(D11="","-",+C29+1)</f>
        <v>2030</v>
      </c>
      <c r="D30" s="166">
        <f>IF(F29+SUM(E$17:E29)=D$10,F29,D$10-SUM(E$17:E29))</f>
        <v>237600.68184955156</v>
      </c>
      <c r="E30" s="164">
        <f t="shared" si="5"/>
        <v>7877.9047619047615</v>
      </c>
      <c r="F30" s="163">
        <f t="shared" si="6"/>
        <v>229722.7770876468</v>
      </c>
      <c r="G30" s="165">
        <f t="shared" si="7"/>
        <v>33114.487725554653</v>
      </c>
      <c r="H30" s="147">
        <f t="shared" si="8"/>
        <v>33114.487725554653</v>
      </c>
      <c r="I30" s="160">
        <f t="shared" si="0"/>
        <v>0</v>
      </c>
      <c r="J30" s="160"/>
      <c r="K30" s="335"/>
      <c r="L30" s="162">
        <f t="shared" si="1"/>
        <v>0</v>
      </c>
      <c r="M30" s="335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4"/>
        <v/>
      </c>
      <c r="C31" s="157">
        <f>IF(D11="","-",+C30+1)</f>
        <v>2031</v>
      </c>
      <c r="D31" s="166">
        <f>IF(F30+SUM(E$17:E30)=D$10,F30,D$10-SUM(E$17:E30))</f>
        <v>229722.7770876468</v>
      </c>
      <c r="E31" s="164">
        <f t="shared" si="5"/>
        <v>7877.9047619047615</v>
      </c>
      <c r="F31" s="163">
        <f t="shared" si="6"/>
        <v>221844.87232574204</v>
      </c>
      <c r="G31" s="165">
        <f t="shared" si="7"/>
        <v>32263.636379227268</v>
      </c>
      <c r="H31" s="147">
        <f t="shared" si="8"/>
        <v>32263.636379227268</v>
      </c>
      <c r="I31" s="160">
        <f t="shared" si="0"/>
        <v>0</v>
      </c>
      <c r="J31" s="160"/>
      <c r="K31" s="335"/>
      <c r="L31" s="162">
        <f t="shared" si="1"/>
        <v>0</v>
      </c>
      <c r="M31" s="335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4"/>
        <v/>
      </c>
      <c r="C32" s="157">
        <f>IF(D11="","-",+C31+1)</f>
        <v>2032</v>
      </c>
      <c r="D32" s="166">
        <f>IF(F31+SUM(E$17:E31)=D$10,F31,D$10-SUM(E$17:E31))</f>
        <v>221844.87232574204</v>
      </c>
      <c r="E32" s="164">
        <f t="shared" si="5"/>
        <v>7877.9047619047615</v>
      </c>
      <c r="F32" s="163">
        <f t="shared" si="6"/>
        <v>213966.96756383727</v>
      </c>
      <c r="G32" s="165">
        <f t="shared" si="7"/>
        <v>31412.785032899883</v>
      </c>
      <c r="H32" s="147">
        <f t="shared" si="8"/>
        <v>31412.785032899883</v>
      </c>
      <c r="I32" s="160">
        <f t="shared" si="0"/>
        <v>0</v>
      </c>
      <c r="J32" s="160"/>
      <c r="K32" s="335"/>
      <c r="L32" s="162">
        <f t="shared" si="1"/>
        <v>0</v>
      </c>
      <c r="M32" s="335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4"/>
        <v/>
      </c>
      <c r="C33" s="157">
        <f>IF(D11="","-",+C32+1)</f>
        <v>2033</v>
      </c>
      <c r="D33" s="166">
        <f>IF(F32+SUM(E$17:E32)=D$10,F32,D$10-SUM(E$17:E32))</f>
        <v>213966.96756383727</v>
      </c>
      <c r="E33" s="164">
        <f t="shared" si="5"/>
        <v>7877.9047619047615</v>
      </c>
      <c r="F33" s="163">
        <f t="shared" si="6"/>
        <v>206089.06280193251</v>
      </c>
      <c r="G33" s="165">
        <f t="shared" si="7"/>
        <v>30561.933686572498</v>
      </c>
      <c r="H33" s="147">
        <f t="shared" si="8"/>
        <v>30561.933686572498</v>
      </c>
      <c r="I33" s="160">
        <f t="shared" si="0"/>
        <v>0</v>
      </c>
      <c r="J33" s="160"/>
      <c r="K33" s="335"/>
      <c r="L33" s="162">
        <f t="shared" si="1"/>
        <v>0</v>
      </c>
      <c r="M33" s="335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4"/>
        <v/>
      </c>
      <c r="C34" s="157">
        <f>IF(D11="","-",+C33+1)</f>
        <v>2034</v>
      </c>
      <c r="D34" s="166">
        <f>IF(F33+SUM(E$17:E33)=D$10,F33,D$10-SUM(E$17:E33))</f>
        <v>206089.06280193251</v>
      </c>
      <c r="E34" s="164">
        <f t="shared" si="5"/>
        <v>7877.9047619047615</v>
      </c>
      <c r="F34" s="163">
        <f t="shared" si="6"/>
        <v>198211.15804002775</v>
      </c>
      <c r="G34" s="165">
        <f t="shared" si="7"/>
        <v>29711.082340245121</v>
      </c>
      <c r="H34" s="147">
        <f t="shared" si="8"/>
        <v>29711.082340245121</v>
      </c>
      <c r="I34" s="160">
        <f t="shared" si="0"/>
        <v>0</v>
      </c>
      <c r="J34" s="160"/>
      <c r="K34" s="335"/>
      <c r="L34" s="162">
        <f t="shared" si="1"/>
        <v>0</v>
      </c>
      <c r="M34" s="335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4"/>
        <v/>
      </c>
      <c r="C35" s="157">
        <f>IF(D11="","-",+C34+1)</f>
        <v>2035</v>
      </c>
      <c r="D35" s="166">
        <f>IF(F34+SUM(E$17:E34)=D$10,F34,D$10-SUM(E$17:E34))</f>
        <v>198211.15804002775</v>
      </c>
      <c r="E35" s="164">
        <f t="shared" si="5"/>
        <v>7877.9047619047615</v>
      </c>
      <c r="F35" s="163">
        <f t="shared" si="6"/>
        <v>190333.25327812298</v>
      </c>
      <c r="G35" s="165">
        <f t="shared" si="7"/>
        <v>28860.230993917736</v>
      </c>
      <c r="H35" s="147">
        <f t="shared" si="8"/>
        <v>28860.230993917736</v>
      </c>
      <c r="I35" s="160">
        <f t="shared" si="0"/>
        <v>0</v>
      </c>
      <c r="J35" s="160"/>
      <c r="K35" s="335"/>
      <c r="L35" s="162">
        <f t="shared" si="1"/>
        <v>0</v>
      </c>
      <c r="M35" s="335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4"/>
        <v/>
      </c>
      <c r="C36" s="157">
        <f>IF(D11="","-",+C35+1)</f>
        <v>2036</v>
      </c>
      <c r="D36" s="166">
        <f>IF(F35+SUM(E$17:E35)=D$10,F35,D$10-SUM(E$17:E35))</f>
        <v>190333.25327812298</v>
      </c>
      <c r="E36" s="164">
        <f t="shared" si="5"/>
        <v>7877.9047619047615</v>
      </c>
      <c r="F36" s="163">
        <f t="shared" si="6"/>
        <v>182455.34851621822</v>
      </c>
      <c r="G36" s="165">
        <f t="shared" si="7"/>
        <v>28009.379647590358</v>
      </c>
      <c r="H36" s="147">
        <f t="shared" si="8"/>
        <v>28009.379647590358</v>
      </c>
      <c r="I36" s="160">
        <f t="shared" si="0"/>
        <v>0</v>
      </c>
      <c r="J36" s="160"/>
      <c r="K36" s="335"/>
      <c r="L36" s="162">
        <f t="shared" si="1"/>
        <v>0</v>
      </c>
      <c r="M36" s="335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4"/>
        <v/>
      </c>
      <c r="C37" s="157">
        <f>IF(D11="","-",+C36+1)</f>
        <v>2037</v>
      </c>
      <c r="D37" s="166">
        <f>IF(F36+SUM(E$17:E36)=D$10,F36,D$10-SUM(E$17:E36))</f>
        <v>182455.34851621822</v>
      </c>
      <c r="E37" s="164">
        <f t="shared" si="5"/>
        <v>7877.9047619047615</v>
      </c>
      <c r="F37" s="163">
        <f t="shared" si="6"/>
        <v>174577.44375431346</v>
      </c>
      <c r="G37" s="165">
        <f t="shared" si="7"/>
        <v>27158.528301262973</v>
      </c>
      <c r="H37" s="147">
        <f t="shared" si="8"/>
        <v>27158.528301262973</v>
      </c>
      <c r="I37" s="160">
        <f t="shared" si="0"/>
        <v>0</v>
      </c>
      <c r="J37" s="160"/>
      <c r="K37" s="335"/>
      <c r="L37" s="162">
        <f t="shared" si="1"/>
        <v>0</v>
      </c>
      <c r="M37" s="335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4"/>
        <v/>
      </c>
      <c r="C38" s="157">
        <f>IF(D11="","-",+C37+1)</f>
        <v>2038</v>
      </c>
      <c r="D38" s="166">
        <f>IF(F37+SUM(E$17:E37)=D$10,F37,D$10-SUM(E$17:E37))</f>
        <v>174577.44375431346</v>
      </c>
      <c r="E38" s="164">
        <f t="shared" si="5"/>
        <v>7877.9047619047615</v>
      </c>
      <c r="F38" s="163">
        <f t="shared" si="6"/>
        <v>166699.53899240869</v>
      </c>
      <c r="G38" s="165">
        <f t="shared" si="7"/>
        <v>26307.676954935596</v>
      </c>
      <c r="H38" s="147">
        <f t="shared" si="8"/>
        <v>26307.676954935596</v>
      </c>
      <c r="I38" s="160">
        <f t="shared" si="0"/>
        <v>0</v>
      </c>
      <c r="J38" s="160"/>
      <c r="K38" s="335"/>
      <c r="L38" s="162">
        <f t="shared" si="1"/>
        <v>0</v>
      </c>
      <c r="M38" s="335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4"/>
        <v/>
      </c>
      <c r="C39" s="157">
        <f>IF(D11="","-",+C38+1)</f>
        <v>2039</v>
      </c>
      <c r="D39" s="166">
        <f>IF(F38+SUM(E$17:E38)=D$10,F38,D$10-SUM(E$17:E38))</f>
        <v>166699.53899240869</v>
      </c>
      <c r="E39" s="164">
        <f t="shared" si="5"/>
        <v>7877.9047619047615</v>
      </c>
      <c r="F39" s="163">
        <f t="shared" si="6"/>
        <v>158821.63423050393</v>
      </c>
      <c r="G39" s="165">
        <f t="shared" si="7"/>
        <v>25456.825608608211</v>
      </c>
      <c r="H39" s="147">
        <f t="shared" si="8"/>
        <v>25456.825608608211</v>
      </c>
      <c r="I39" s="160">
        <f t="shared" si="0"/>
        <v>0</v>
      </c>
      <c r="J39" s="160"/>
      <c r="K39" s="335"/>
      <c r="L39" s="162">
        <f t="shared" si="1"/>
        <v>0</v>
      </c>
      <c r="M39" s="335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4"/>
        <v/>
      </c>
      <c r="C40" s="157">
        <f>IF(D11="","-",+C39+1)</f>
        <v>2040</v>
      </c>
      <c r="D40" s="166">
        <f>IF(F39+SUM(E$17:E39)=D$10,F39,D$10-SUM(E$17:E39))</f>
        <v>158821.63423050393</v>
      </c>
      <c r="E40" s="164">
        <f t="shared" si="5"/>
        <v>7877.9047619047615</v>
      </c>
      <c r="F40" s="163">
        <f t="shared" si="6"/>
        <v>150943.72946859917</v>
      </c>
      <c r="G40" s="165">
        <f t="shared" si="7"/>
        <v>24605.974262280833</v>
      </c>
      <c r="H40" s="147">
        <f t="shared" si="8"/>
        <v>24605.974262280833</v>
      </c>
      <c r="I40" s="160">
        <f t="shared" si="0"/>
        <v>0</v>
      </c>
      <c r="J40" s="160"/>
      <c r="K40" s="335"/>
      <c r="L40" s="162">
        <f t="shared" si="1"/>
        <v>0</v>
      </c>
      <c r="M40" s="335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4"/>
        <v/>
      </c>
      <c r="C41" s="157">
        <f>IF(D11="","-",+C40+1)</f>
        <v>2041</v>
      </c>
      <c r="D41" s="166">
        <f>IF(F40+SUM(E$17:E40)=D$10,F40,D$10-SUM(E$17:E40))</f>
        <v>150943.72946859917</v>
      </c>
      <c r="E41" s="164">
        <f t="shared" si="5"/>
        <v>7877.9047619047615</v>
      </c>
      <c r="F41" s="163">
        <f t="shared" si="6"/>
        <v>143065.8247066944</v>
      </c>
      <c r="G41" s="165">
        <f t="shared" si="7"/>
        <v>23755.122915953449</v>
      </c>
      <c r="H41" s="147">
        <f t="shared" si="8"/>
        <v>23755.122915953449</v>
      </c>
      <c r="I41" s="160">
        <f t="shared" si="0"/>
        <v>0</v>
      </c>
      <c r="J41" s="160"/>
      <c r="K41" s="335"/>
      <c r="L41" s="162">
        <f t="shared" si="1"/>
        <v>0</v>
      </c>
      <c r="M41" s="335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4"/>
        <v/>
      </c>
      <c r="C42" s="157">
        <f>IF(D11="","-",+C41+1)</f>
        <v>2042</v>
      </c>
      <c r="D42" s="166">
        <f>IF(F41+SUM(E$17:E41)=D$10,F41,D$10-SUM(E$17:E41))</f>
        <v>143065.8247066944</v>
      </c>
      <c r="E42" s="164">
        <f t="shared" si="5"/>
        <v>7877.9047619047615</v>
      </c>
      <c r="F42" s="163">
        <f t="shared" si="6"/>
        <v>135187.91994478964</v>
      </c>
      <c r="G42" s="165">
        <f t="shared" si="7"/>
        <v>22904.271569626071</v>
      </c>
      <c r="H42" s="147">
        <f t="shared" si="8"/>
        <v>22904.271569626071</v>
      </c>
      <c r="I42" s="160">
        <f t="shared" si="0"/>
        <v>0</v>
      </c>
      <c r="J42" s="160"/>
      <c r="K42" s="335"/>
      <c r="L42" s="162">
        <f t="shared" si="1"/>
        <v>0</v>
      </c>
      <c r="M42" s="335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4"/>
        <v/>
      </c>
      <c r="C43" s="157">
        <f>IF(D11="","-",+C42+1)</f>
        <v>2043</v>
      </c>
      <c r="D43" s="166">
        <f>IF(F42+SUM(E$17:E42)=D$10,F42,D$10-SUM(E$17:E42))</f>
        <v>135187.91994478964</v>
      </c>
      <c r="E43" s="164">
        <f t="shared" si="5"/>
        <v>7877.9047619047615</v>
      </c>
      <c r="F43" s="163">
        <f t="shared" si="6"/>
        <v>127310.01518288488</v>
      </c>
      <c r="G43" s="165">
        <f t="shared" si="7"/>
        <v>22053.420223298686</v>
      </c>
      <c r="H43" s="147">
        <f t="shared" si="8"/>
        <v>22053.420223298686</v>
      </c>
      <c r="I43" s="160">
        <f t="shared" si="0"/>
        <v>0</v>
      </c>
      <c r="J43" s="160"/>
      <c r="K43" s="335"/>
      <c r="L43" s="162">
        <f t="shared" si="1"/>
        <v>0</v>
      </c>
      <c r="M43" s="335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4"/>
        <v/>
      </c>
      <c r="C44" s="157">
        <f>IF(D11="","-",+C43+1)</f>
        <v>2044</v>
      </c>
      <c r="D44" s="166">
        <f>IF(F43+SUM(E$17:E43)=D$10,F43,D$10-SUM(E$17:E43))</f>
        <v>127310.01518288488</v>
      </c>
      <c r="E44" s="164">
        <f t="shared" si="5"/>
        <v>7877.9047619047615</v>
      </c>
      <c r="F44" s="163">
        <f t="shared" si="6"/>
        <v>119432.11042098011</v>
      </c>
      <c r="G44" s="165">
        <f t="shared" si="7"/>
        <v>21202.568876971302</v>
      </c>
      <c r="H44" s="147">
        <f t="shared" si="8"/>
        <v>21202.568876971302</v>
      </c>
      <c r="I44" s="160">
        <f t="shared" si="0"/>
        <v>0</v>
      </c>
      <c r="J44" s="160"/>
      <c r="K44" s="335"/>
      <c r="L44" s="162">
        <f t="shared" si="1"/>
        <v>0</v>
      </c>
      <c r="M44" s="335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4"/>
        <v/>
      </c>
      <c r="C45" s="157">
        <f>IF(D11="","-",+C44+1)</f>
        <v>2045</v>
      </c>
      <c r="D45" s="166">
        <f>IF(F44+SUM(E$17:E44)=D$10,F44,D$10-SUM(E$17:E44))</f>
        <v>119432.11042098011</v>
      </c>
      <c r="E45" s="164">
        <f t="shared" si="5"/>
        <v>7877.9047619047615</v>
      </c>
      <c r="F45" s="163">
        <f t="shared" si="6"/>
        <v>111554.20565907535</v>
      </c>
      <c r="G45" s="165">
        <f t="shared" si="7"/>
        <v>20351.717530643924</v>
      </c>
      <c r="H45" s="147">
        <f t="shared" si="8"/>
        <v>20351.717530643924</v>
      </c>
      <c r="I45" s="160">
        <f t="shared" si="0"/>
        <v>0</v>
      </c>
      <c r="J45" s="160"/>
      <c r="K45" s="335"/>
      <c r="L45" s="162">
        <f t="shared" si="1"/>
        <v>0</v>
      </c>
      <c r="M45" s="335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4"/>
        <v/>
      </c>
      <c r="C46" s="157">
        <f>IF(D11="","-",+C45+1)</f>
        <v>2046</v>
      </c>
      <c r="D46" s="166">
        <f>IF(F45+SUM(E$17:E45)=D$10,F45,D$10-SUM(E$17:E45))</f>
        <v>111554.20565907535</v>
      </c>
      <c r="E46" s="164">
        <f t="shared" si="5"/>
        <v>7877.9047619047615</v>
      </c>
      <c r="F46" s="163">
        <f t="shared" si="6"/>
        <v>103676.30089717059</v>
      </c>
      <c r="G46" s="165">
        <f t="shared" si="7"/>
        <v>19500.866184316539</v>
      </c>
      <c r="H46" s="147">
        <f t="shared" si="8"/>
        <v>19500.866184316539</v>
      </c>
      <c r="I46" s="160">
        <f t="shared" si="0"/>
        <v>0</v>
      </c>
      <c r="J46" s="160"/>
      <c r="K46" s="335"/>
      <c r="L46" s="162">
        <f t="shared" si="1"/>
        <v>0</v>
      </c>
      <c r="M46" s="335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4"/>
        <v/>
      </c>
      <c r="C47" s="157">
        <f>IF(D11="","-",+C46+1)</f>
        <v>2047</v>
      </c>
      <c r="D47" s="166">
        <f>IF(F46+SUM(E$17:E46)=D$10,F46,D$10-SUM(E$17:E46))</f>
        <v>103676.30089717059</v>
      </c>
      <c r="E47" s="164">
        <f t="shared" si="5"/>
        <v>7877.9047619047615</v>
      </c>
      <c r="F47" s="163">
        <f t="shared" si="6"/>
        <v>95798.396135265823</v>
      </c>
      <c r="G47" s="165">
        <f t="shared" si="7"/>
        <v>18650.014837989158</v>
      </c>
      <c r="H47" s="147">
        <f t="shared" si="8"/>
        <v>18650.014837989158</v>
      </c>
      <c r="I47" s="160">
        <f t="shared" si="0"/>
        <v>0</v>
      </c>
      <c r="J47" s="160"/>
      <c r="K47" s="335"/>
      <c r="L47" s="162">
        <f t="shared" si="1"/>
        <v>0</v>
      </c>
      <c r="M47" s="335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4"/>
        <v/>
      </c>
      <c r="C48" s="157">
        <f>IF(D11="","-",+C47+1)</f>
        <v>2048</v>
      </c>
      <c r="D48" s="166">
        <f>IF(F47+SUM(E$17:E47)=D$10,F47,D$10-SUM(E$17:E47))</f>
        <v>95798.396135265823</v>
      </c>
      <c r="E48" s="164">
        <f t="shared" si="5"/>
        <v>7877.9047619047615</v>
      </c>
      <c r="F48" s="163">
        <f t="shared" si="6"/>
        <v>87920.491373361059</v>
      </c>
      <c r="G48" s="165">
        <f t="shared" si="7"/>
        <v>17799.163491661777</v>
      </c>
      <c r="H48" s="147">
        <f t="shared" si="8"/>
        <v>17799.163491661777</v>
      </c>
      <c r="I48" s="160">
        <f t="shared" si="0"/>
        <v>0</v>
      </c>
      <c r="J48" s="160"/>
      <c r="K48" s="335"/>
      <c r="L48" s="162">
        <f t="shared" si="1"/>
        <v>0</v>
      </c>
      <c r="M48" s="335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4"/>
        <v/>
      </c>
      <c r="C49" s="157">
        <f>IF(D11="","-",+C48+1)</f>
        <v>2049</v>
      </c>
      <c r="D49" s="166">
        <f>IF(F48+SUM(E$17:E48)=D$10,F48,D$10-SUM(E$17:E48))</f>
        <v>87920.491373361059</v>
      </c>
      <c r="E49" s="164">
        <f t="shared" si="5"/>
        <v>7877.9047619047615</v>
      </c>
      <c r="F49" s="163">
        <f t="shared" si="6"/>
        <v>80042.586611456296</v>
      </c>
      <c r="G49" s="165">
        <f t="shared" si="7"/>
        <v>16948.312145334396</v>
      </c>
      <c r="H49" s="147">
        <f t="shared" si="8"/>
        <v>16948.312145334396</v>
      </c>
      <c r="I49" s="160">
        <f t="shared" si="0"/>
        <v>0</v>
      </c>
      <c r="J49" s="160"/>
      <c r="K49" s="335"/>
      <c r="L49" s="162">
        <f t="shared" si="1"/>
        <v>0</v>
      </c>
      <c r="M49" s="335"/>
      <c r="N49" s="162">
        <f t="shared" si="2"/>
        <v>0</v>
      </c>
      <c r="O49" s="162">
        <f t="shared" si="3"/>
        <v>0</v>
      </c>
      <c r="P49" s="4"/>
    </row>
    <row r="50" spans="2:16">
      <c r="B50" s="9" t="str">
        <f t="shared" si="4"/>
        <v/>
      </c>
      <c r="C50" s="157">
        <f>IF(D11="","-",+C49+1)</f>
        <v>2050</v>
      </c>
      <c r="D50" s="166">
        <f>IF(F49+SUM(E$17:E49)=D$10,F49,D$10-SUM(E$17:E49))</f>
        <v>80042.586611456296</v>
      </c>
      <c r="E50" s="164">
        <f t="shared" si="5"/>
        <v>7877.9047619047615</v>
      </c>
      <c r="F50" s="163">
        <f t="shared" si="6"/>
        <v>72164.681849551533</v>
      </c>
      <c r="G50" s="165">
        <f t="shared" si="7"/>
        <v>16097.460799007013</v>
      </c>
      <c r="H50" s="147">
        <f t="shared" si="8"/>
        <v>16097.460799007013</v>
      </c>
      <c r="I50" s="160">
        <f t="shared" si="0"/>
        <v>0</v>
      </c>
      <c r="J50" s="160"/>
      <c r="K50" s="335"/>
      <c r="L50" s="162">
        <f t="shared" si="1"/>
        <v>0</v>
      </c>
      <c r="M50" s="335"/>
      <c r="N50" s="162">
        <f t="shared" si="2"/>
        <v>0</v>
      </c>
      <c r="O50" s="162">
        <f t="shared" si="3"/>
        <v>0</v>
      </c>
      <c r="P50" s="4"/>
    </row>
    <row r="51" spans="2:16">
      <c r="B51" s="9" t="str">
        <f t="shared" si="4"/>
        <v/>
      </c>
      <c r="C51" s="157">
        <f>IF(D11="","-",+C50+1)</f>
        <v>2051</v>
      </c>
      <c r="D51" s="166">
        <f>IF(F50+SUM(E$17:E50)=D$10,F50,D$10-SUM(E$17:E50))</f>
        <v>72164.681849551533</v>
      </c>
      <c r="E51" s="164">
        <f t="shared" si="5"/>
        <v>7877.9047619047615</v>
      </c>
      <c r="F51" s="163">
        <f t="shared" si="6"/>
        <v>64286.777087646769</v>
      </c>
      <c r="G51" s="165">
        <f t="shared" si="7"/>
        <v>15246.609452679631</v>
      </c>
      <c r="H51" s="147">
        <f t="shared" si="8"/>
        <v>15246.609452679631</v>
      </c>
      <c r="I51" s="160">
        <f t="shared" si="0"/>
        <v>0</v>
      </c>
      <c r="J51" s="160"/>
      <c r="K51" s="335"/>
      <c r="L51" s="162">
        <f t="shared" si="1"/>
        <v>0</v>
      </c>
      <c r="M51" s="335"/>
      <c r="N51" s="162">
        <f t="shared" si="2"/>
        <v>0</v>
      </c>
      <c r="O51" s="162">
        <f t="shared" si="3"/>
        <v>0</v>
      </c>
      <c r="P51" s="4"/>
    </row>
    <row r="52" spans="2:16">
      <c r="B52" s="9" t="str">
        <f t="shared" si="4"/>
        <v/>
      </c>
      <c r="C52" s="157">
        <f>IF(D11="","-",+C51+1)</f>
        <v>2052</v>
      </c>
      <c r="D52" s="166">
        <f>IF(F51+SUM(E$17:E51)=D$10,F51,D$10-SUM(E$17:E51))</f>
        <v>64286.777087646769</v>
      </c>
      <c r="E52" s="164">
        <f t="shared" si="5"/>
        <v>7877.9047619047615</v>
      </c>
      <c r="F52" s="163">
        <f t="shared" si="6"/>
        <v>56408.872325742006</v>
      </c>
      <c r="G52" s="165">
        <f t="shared" si="7"/>
        <v>14395.758106352248</v>
      </c>
      <c r="H52" s="147">
        <f t="shared" si="8"/>
        <v>14395.758106352248</v>
      </c>
      <c r="I52" s="160">
        <f t="shared" si="0"/>
        <v>0</v>
      </c>
      <c r="J52" s="160"/>
      <c r="K52" s="335"/>
      <c r="L52" s="162">
        <f t="shared" si="1"/>
        <v>0</v>
      </c>
      <c r="M52" s="335"/>
      <c r="N52" s="162">
        <f t="shared" si="2"/>
        <v>0</v>
      </c>
      <c r="O52" s="162">
        <f t="shared" si="3"/>
        <v>0</v>
      </c>
      <c r="P52" s="4"/>
    </row>
    <row r="53" spans="2:16">
      <c r="B53" s="9" t="str">
        <f t="shared" si="4"/>
        <v/>
      </c>
      <c r="C53" s="157">
        <f>IF(D11="","-",+C52+1)</f>
        <v>2053</v>
      </c>
      <c r="D53" s="166">
        <f>IF(F52+SUM(E$17:E52)=D$10,F52,D$10-SUM(E$17:E52))</f>
        <v>56408.872325742006</v>
      </c>
      <c r="E53" s="164">
        <f t="shared" si="5"/>
        <v>7877.9047619047615</v>
      </c>
      <c r="F53" s="163">
        <f t="shared" si="6"/>
        <v>48530.967563837243</v>
      </c>
      <c r="G53" s="165">
        <f t="shared" si="7"/>
        <v>13544.906760024867</v>
      </c>
      <c r="H53" s="147">
        <f t="shared" si="8"/>
        <v>13544.906760024867</v>
      </c>
      <c r="I53" s="160">
        <f t="shared" si="0"/>
        <v>0</v>
      </c>
      <c r="J53" s="160"/>
      <c r="K53" s="335"/>
      <c r="L53" s="162">
        <f t="shared" si="1"/>
        <v>0</v>
      </c>
      <c r="M53" s="335"/>
      <c r="N53" s="162">
        <f t="shared" si="2"/>
        <v>0</v>
      </c>
      <c r="O53" s="162">
        <f t="shared" si="3"/>
        <v>0</v>
      </c>
      <c r="P53" s="4"/>
    </row>
    <row r="54" spans="2:16">
      <c r="B54" s="9" t="str">
        <f t="shared" si="4"/>
        <v/>
      </c>
      <c r="C54" s="157">
        <f>IF(D11="","-",+C53+1)</f>
        <v>2054</v>
      </c>
      <c r="D54" s="166">
        <f>IF(F53+SUM(E$17:E53)=D$10,F53,D$10-SUM(E$17:E53))</f>
        <v>48530.967563837243</v>
      </c>
      <c r="E54" s="164">
        <f t="shared" si="5"/>
        <v>7877.9047619047615</v>
      </c>
      <c r="F54" s="163">
        <f t="shared" si="6"/>
        <v>40653.062801932479</v>
      </c>
      <c r="G54" s="165">
        <f t="shared" si="7"/>
        <v>12694.055413697486</v>
      </c>
      <c r="H54" s="147">
        <f t="shared" si="8"/>
        <v>12694.055413697486</v>
      </c>
      <c r="I54" s="160">
        <f t="shared" si="0"/>
        <v>0</v>
      </c>
      <c r="J54" s="160"/>
      <c r="K54" s="335"/>
      <c r="L54" s="162">
        <f t="shared" si="1"/>
        <v>0</v>
      </c>
      <c r="M54" s="335"/>
      <c r="N54" s="162">
        <f t="shared" si="2"/>
        <v>0</v>
      </c>
      <c r="O54" s="162">
        <f t="shared" si="3"/>
        <v>0</v>
      </c>
      <c r="P54" s="4"/>
    </row>
    <row r="55" spans="2:16">
      <c r="B55" s="9" t="str">
        <f t="shared" si="4"/>
        <v/>
      </c>
      <c r="C55" s="157">
        <f>IF(D11="","-",+C54+1)</f>
        <v>2055</v>
      </c>
      <c r="D55" s="166">
        <f>IF(F54+SUM(E$17:E54)=D$10,F54,D$10-SUM(E$17:E54))</f>
        <v>40653.062801932479</v>
      </c>
      <c r="E55" s="164">
        <f t="shared" si="5"/>
        <v>7877.9047619047615</v>
      </c>
      <c r="F55" s="163">
        <f t="shared" si="6"/>
        <v>32775.158040027716</v>
      </c>
      <c r="G55" s="165">
        <f t="shared" si="7"/>
        <v>11843.204067370105</v>
      </c>
      <c r="H55" s="147">
        <f t="shared" si="8"/>
        <v>11843.204067370105</v>
      </c>
      <c r="I55" s="160">
        <f t="shared" si="0"/>
        <v>0</v>
      </c>
      <c r="J55" s="160"/>
      <c r="K55" s="335"/>
      <c r="L55" s="162">
        <f t="shared" si="1"/>
        <v>0</v>
      </c>
      <c r="M55" s="335"/>
      <c r="N55" s="162">
        <f t="shared" si="2"/>
        <v>0</v>
      </c>
      <c r="O55" s="162">
        <f t="shared" si="3"/>
        <v>0</v>
      </c>
      <c r="P55" s="4"/>
    </row>
    <row r="56" spans="2:16">
      <c r="B56" s="9" t="str">
        <f t="shared" si="4"/>
        <v/>
      </c>
      <c r="C56" s="157">
        <f>IF(D11="","-",+C55+1)</f>
        <v>2056</v>
      </c>
      <c r="D56" s="166">
        <f>IF(F55+SUM(E$17:E55)=D$10,F55,D$10-SUM(E$17:E55))</f>
        <v>32775.158040027716</v>
      </c>
      <c r="E56" s="164">
        <f t="shared" si="5"/>
        <v>7877.9047619047615</v>
      </c>
      <c r="F56" s="163">
        <f t="shared" si="6"/>
        <v>24897.253278122953</v>
      </c>
      <c r="G56" s="165">
        <f t="shared" si="7"/>
        <v>10992.352721042722</v>
      </c>
      <c r="H56" s="147">
        <f t="shared" si="8"/>
        <v>10992.352721042722</v>
      </c>
      <c r="I56" s="160">
        <f t="shared" si="0"/>
        <v>0</v>
      </c>
      <c r="J56" s="160"/>
      <c r="K56" s="335"/>
      <c r="L56" s="162">
        <f t="shared" si="1"/>
        <v>0</v>
      </c>
      <c r="M56" s="335"/>
      <c r="N56" s="162">
        <f t="shared" si="2"/>
        <v>0</v>
      </c>
      <c r="O56" s="162">
        <f t="shared" si="3"/>
        <v>0</v>
      </c>
      <c r="P56" s="4"/>
    </row>
    <row r="57" spans="2:16">
      <c r="B57" s="9" t="str">
        <f t="shared" si="4"/>
        <v/>
      </c>
      <c r="C57" s="157">
        <f>IF(D11="","-",+C56+1)</f>
        <v>2057</v>
      </c>
      <c r="D57" s="166">
        <f>IF(F56+SUM(E$17:E56)=D$10,F56,D$10-SUM(E$17:E56))</f>
        <v>24897.253278122953</v>
      </c>
      <c r="E57" s="164">
        <f t="shared" si="5"/>
        <v>7877.9047619047615</v>
      </c>
      <c r="F57" s="163">
        <f t="shared" si="6"/>
        <v>17019.34851621819</v>
      </c>
      <c r="G57" s="165">
        <f t="shared" si="7"/>
        <v>10141.501374715341</v>
      </c>
      <c r="H57" s="147">
        <f t="shared" si="8"/>
        <v>10141.501374715341</v>
      </c>
      <c r="I57" s="160">
        <f t="shared" si="0"/>
        <v>0</v>
      </c>
      <c r="J57" s="160"/>
      <c r="K57" s="335"/>
      <c r="L57" s="162">
        <f t="shared" si="1"/>
        <v>0</v>
      </c>
      <c r="M57" s="335"/>
      <c r="N57" s="162">
        <f t="shared" si="2"/>
        <v>0</v>
      </c>
      <c r="O57" s="162">
        <f t="shared" si="3"/>
        <v>0</v>
      </c>
      <c r="P57" s="4"/>
    </row>
    <row r="58" spans="2:16">
      <c r="B58" s="9" t="str">
        <f t="shared" si="4"/>
        <v/>
      </c>
      <c r="C58" s="157">
        <f>IF(D11="","-",+C57+1)</f>
        <v>2058</v>
      </c>
      <c r="D58" s="166">
        <f>IF(F57+SUM(E$17:E57)=D$10,F57,D$10-SUM(E$17:E57))</f>
        <v>17019.34851621819</v>
      </c>
      <c r="E58" s="164">
        <f t="shared" si="5"/>
        <v>7877.9047619047615</v>
      </c>
      <c r="F58" s="163">
        <f t="shared" si="6"/>
        <v>9141.4437543134281</v>
      </c>
      <c r="G58" s="165">
        <f t="shared" si="7"/>
        <v>9290.6500283879595</v>
      </c>
      <c r="H58" s="147">
        <f t="shared" si="8"/>
        <v>9290.6500283879595</v>
      </c>
      <c r="I58" s="160">
        <f t="shared" si="0"/>
        <v>0</v>
      </c>
      <c r="J58" s="160"/>
      <c r="K58" s="335"/>
      <c r="L58" s="162">
        <f t="shared" si="1"/>
        <v>0</v>
      </c>
      <c r="M58" s="335"/>
      <c r="N58" s="162">
        <f t="shared" si="2"/>
        <v>0</v>
      </c>
      <c r="O58" s="162">
        <f t="shared" si="3"/>
        <v>0</v>
      </c>
      <c r="P58" s="4"/>
    </row>
    <row r="59" spans="2:16">
      <c r="B59" s="9" t="str">
        <f t="shared" si="4"/>
        <v/>
      </c>
      <c r="C59" s="157">
        <f>IF(D11="","-",+C58+1)</f>
        <v>2059</v>
      </c>
      <c r="D59" s="166">
        <f>IF(F58+SUM(E$17:E58)=D$10,F58,D$10-SUM(E$17:E58))</f>
        <v>9141.4437543134281</v>
      </c>
      <c r="E59" s="164">
        <f t="shared" si="5"/>
        <v>7877.9047619047615</v>
      </c>
      <c r="F59" s="163">
        <f t="shared" si="6"/>
        <v>1263.5389924086667</v>
      </c>
      <c r="G59" s="165">
        <f t="shared" si="7"/>
        <v>8439.7986820605765</v>
      </c>
      <c r="H59" s="147">
        <f t="shared" si="8"/>
        <v>8439.7986820605765</v>
      </c>
      <c r="I59" s="160">
        <f t="shared" si="0"/>
        <v>0</v>
      </c>
      <c r="J59" s="160"/>
      <c r="K59" s="335"/>
      <c r="L59" s="162">
        <f t="shared" si="1"/>
        <v>0</v>
      </c>
      <c r="M59" s="335"/>
      <c r="N59" s="162">
        <f t="shared" si="2"/>
        <v>0</v>
      </c>
      <c r="O59" s="162">
        <f t="shared" si="3"/>
        <v>0</v>
      </c>
      <c r="P59" s="4"/>
    </row>
    <row r="60" spans="2:16">
      <c r="B60" s="9" t="str">
        <f t="shared" si="4"/>
        <v/>
      </c>
      <c r="C60" s="157">
        <f>IF(D11="","-",+C59+1)</f>
        <v>2060</v>
      </c>
      <c r="D60" s="166">
        <f>IF(F59+SUM(E$17:E59)=D$10,F59,D$10-SUM(E$17:E59))</f>
        <v>1263.5389924086667</v>
      </c>
      <c r="E60" s="164">
        <f t="shared" si="5"/>
        <v>1263.5389924086667</v>
      </c>
      <c r="F60" s="163">
        <f t="shared" si="6"/>
        <v>0</v>
      </c>
      <c r="G60" s="165">
        <f t="shared" si="7"/>
        <v>1331.7731159047291</v>
      </c>
      <c r="H60" s="147">
        <f t="shared" si="8"/>
        <v>1331.7731159047291</v>
      </c>
      <c r="I60" s="160">
        <f t="shared" si="0"/>
        <v>0</v>
      </c>
      <c r="J60" s="160"/>
      <c r="K60" s="335"/>
      <c r="L60" s="162">
        <f t="shared" si="1"/>
        <v>0</v>
      </c>
      <c r="M60" s="335"/>
      <c r="N60" s="162">
        <f t="shared" si="2"/>
        <v>0</v>
      </c>
      <c r="O60" s="162">
        <f t="shared" si="3"/>
        <v>0</v>
      </c>
      <c r="P60" s="4"/>
    </row>
    <row r="61" spans="2:16">
      <c r="B61" s="9" t="str">
        <f t="shared" si="4"/>
        <v/>
      </c>
      <c r="C61" s="157">
        <f>IF(D11="","-",+C60+1)</f>
        <v>2061</v>
      </c>
      <c r="D61" s="166">
        <f>IF(F60+SUM(E$17:E60)=D$10,F60,D$10-SUM(E$17:E60))</f>
        <v>0</v>
      </c>
      <c r="E61" s="164">
        <f t="shared" si="5"/>
        <v>0</v>
      </c>
      <c r="F61" s="163">
        <f t="shared" si="6"/>
        <v>0</v>
      </c>
      <c r="G61" s="165">
        <f t="shared" si="7"/>
        <v>0</v>
      </c>
      <c r="H61" s="147">
        <f t="shared" si="8"/>
        <v>0</v>
      </c>
      <c r="I61" s="160">
        <f t="shared" si="0"/>
        <v>0</v>
      </c>
      <c r="J61" s="160"/>
      <c r="K61" s="335"/>
      <c r="L61" s="162">
        <f t="shared" si="1"/>
        <v>0</v>
      </c>
      <c r="M61" s="335"/>
      <c r="N61" s="162">
        <f t="shared" si="2"/>
        <v>0</v>
      </c>
      <c r="O61" s="162">
        <f t="shared" si="3"/>
        <v>0</v>
      </c>
      <c r="P61" s="4"/>
    </row>
    <row r="62" spans="2:16">
      <c r="B62" s="9" t="str">
        <f t="shared" si="4"/>
        <v/>
      </c>
      <c r="C62" s="157">
        <f>IF(D11="","-",+C61+1)</f>
        <v>2062</v>
      </c>
      <c r="D62" s="166">
        <f>IF(F61+SUM(E$17:E61)=D$10,F61,D$10-SUM(E$17:E61))</f>
        <v>0</v>
      </c>
      <c r="E62" s="164">
        <f t="shared" si="5"/>
        <v>0</v>
      </c>
      <c r="F62" s="163">
        <f t="shared" si="6"/>
        <v>0</v>
      </c>
      <c r="G62" s="165">
        <f t="shared" si="7"/>
        <v>0</v>
      </c>
      <c r="H62" s="147">
        <f t="shared" si="8"/>
        <v>0</v>
      </c>
      <c r="I62" s="160">
        <f t="shared" si="0"/>
        <v>0</v>
      </c>
      <c r="J62" s="160"/>
      <c r="K62" s="335"/>
      <c r="L62" s="162">
        <f t="shared" si="1"/>
        <v>0</v>
      </c>
      <c r="M62" s="335"/>
      <c r="N62" s="162">
        <f t="shared" si="2"/>
        <v>0</v>
      </c>
      <c r="O62" s="162">
        <f t="shared" si="3"/>
        <v>0</v>
      </c>
      <c r="P62" s="4"/>
    </row>
    <row r="63" spans="2:16">
      <c r="B63" s="9" t="str">
        <f t="shared" si="4"/>
        <v/>
      </c>
      <c r="C63" s="157">
        <f>IF(D11="","-",+C62+1)</f>
        <v>2063</v>
      </c>
      <c r="D63" s="166">
        <f>IF(F62+SUM(E$17:E62)=D$10,F62,D$10-SUM(E$17:E62))</f>
        <v>0</v>
      </c>
      <c r="E63" s="164">
        <f t="shared" si="5"/>
        <v>0</v>
      </c>
      <c r="F63" s="163">
        <f t="shared" si="6"/>
        <v>0</v>
      </c>
      <c r="G63" s="165">
        <f t="shared" si="7"/>
        <v>0</v>
      </c>
      <c r="H63" s="147">
        <f t="shared" si="8"/>
        <v>0</v>
      </c>
      <c r="I63" s="160">
        <f t="shared" si="0"/>
        <v>0</v>
      </c>
      <c r="J63" s="160"/>
      <c r="K63" s="335"/>
      <c r="L63" s="162">
        <f t="shared" si="1"/>
        <v>0</v>
      </c>
      <c r="M63" s="335"/>
      <c r="N63" s="162">
        <f t="shared" si="2"/>
        <v>0</v>
      </c>
      <c r="O63" s="162">
        <f t="shared" si="3"/>
        <v>0</v>
      </c>
      <c r="P63" s="4"/>
    </row>
    <row r="64" spans="2:16">
      <c r="B64" s="9" t="str">
        <f t="shared" si="4"/>
        <v/>
      </c>
      <c r="C64" s="157">
        <f>IF(D11="","-",+C63+1)</f>
        <v>2064</v>
      </c>
      <c r="D64" s="166">
        <f>IF(F63+SUM(E$17:E63)=D$10,F63,D$10-SUM(E$17:E63))</f>
        <v>0</v>
      </c>
      <c r="E64" s="164">
        <f t="shared" si="5"/>
        <v>0</v>
      </c>
      <c r="F64" s="163">
        <f t="shared" si="6"/>
        <v>0</v>
      </c>
      <c r="G64" s="165">
        <f t="shared" si="7"/>
        <v>0</v>
      </c>
      <c r="H64" s="147">
        <f t="shared" si="8"/>
        <v>0</v>
      </c>
      <c r="I64" s="160">
        <f t="shared" si="0"/>
        <v>0</v>
      </c>
      <c r="J64" s="160"/>
      <c r="K64" s="335"/>
      <c r="L64" s="162">
        <f t="shared" si="1"/>
        <v>0</v>
      </c>
      <c r="M64" s="335"/>
      <c r="N64" s="162">
        <f t="shared" si="2"/>
        <v>0</v>
      </c>
      <c r="O64" s="162">
        <f t="shared" si="3"/>
        <v>0</v>
      </c>
      <c r="P64" s="4"/>
    </row>
    <row r="65" spans="2:16">
      <c r="B65" s="9" t="str">
        <f t="shared" si="4"/>
        <v/>
      </c>
      <c r="C65" s="157">
        <f>IF(D11="","-",+C64+1)</f>
        <v>2065</v>
      </c>
      <c r="D65" s="166">
        <f>IF(F64+SUM(E$17:E64)=D$10,F64,D$10-SUM(E$17:E64))</f>
        <v>0</v>
      </c>
      <c r="E65" s="164">
        <f t="shared" si="5"/>
        <v>0</v>
      </c>
      <c r="F65" s="163">
        <f t="shared" si="6"/>
        <v>0</v>
      </c>
      <c r="G65" s="165">
        <f t="shared" si="7"/>
        <v>0</v>
      </c>
      <c r="H65" s="147">
        <f t="shared" si="8"/>
        <v>0</v>
      </c>
      <c r="I65" s="160">
        <f t="shared" si="0"/>
        <v>0</v>
      </c>
      <c r="J65" s="160"/>
      <c r="K65" s="335"/>
      <c r="L65" s="162">
        <f t="shared" si="1"/>
        <v>0</v>
      </c>
      <c r="M65" s="335"/>
      <c r="N65" s="162">
        <f t="shared" si="2"/>
        <v>0</v>
      </c>
      <c r="O65" s="162">
        <f t="shared" si="3"/>
        <v>0</v>
      </c>
      <c r="P65" s="4"/>
    </row>
    <row r="66" spans="2:16">
      <c r="B66" s="9" t="str">
        <f t="shared" si="4"/>
        <v/>
      </c>
      <c r="C66" s="157">
        <f>IF(D11="","-",+C65+1)</f>
        <v>2066</v>
      </c>
      <c r="D66" s="166">
        <f>IF(F65+SUM(E$17:E65)=D$10,F65,D$10-SUM(E$17:E65))</f>
        <v>0</v>
      </c>
      <c r="E66" s="164">
        <f t="shared" si="5"/>
        <v>0</v>
      </c>
      <c r="F66" s="163">
        <f t="shared" si="6"/>
        <v>0</v>
      </c>
      <c r="G66" s="165">
        <f t="shared" si="7"/>
        <v>0</v>
      </c>
      <c r="H66" s="147">
        <f t="shared" si="8"/>
        <v>0</v>
      </c>
      <c r="I66" s="160">
        <f t="shared" si="0"/>
        <v>0</v>
      </c>
      <c r="J66" s="160"/>
      <c r="K66" s="335"/>
      <c r="L66" s="162">
        <f t="shared" si="1"/>
        <v>0</v>
      </c>
      <c r="M66" s="335"/>
      <c r="N66" s="162">
        <f t="shared" si="2"/>
        <v>0</v>
      </c>
      <c r="O66" s="162">
        <f t="shared" si="3"/>
        <v>0</v>
      </c>
      <c r="P66" s="4"/>
    </row>
    <row r="67" spans="2:16">
      <c r="B67" s="9" t="str">
        <f t="shared" si="4"/>
        <v/>
      </c>
      <c r="C67" s="157">
        <f>IF(D11="","-",+C66+1)</f>
        <v>2067</v>
      </c>
      <c r="D67" s="166">
        <f>IF(F66+SUM(E$17:E66)=D$10,F66,D$10-SUM(E$17:E66))</f>
        <v>0</v>
      </c>
      <c r="E67" s="164">
        <f t="shared" si="5"/>
        <v>0</v>
      </c>
      <c r="F67" s="163">
        <f t="shared" si="6"/>
        <v>0</v>
      </c>
      <c r="G67" s="165">
        <f t="shared" si="7"/>
        <v>0</v>
      </c>
      <c r="H67" s="147">
        <f t="shared" si="8"/>
        <v>0</v>
      </c>
      <c r="I67" s="160">
        <f t="shared" si="0"/>
        <v>0</v>
      </c>
      <c r="J67" s="160"/>
      <c r="K67" s="335"/>
      <c r="L67" s="162">
        <f t="shared" si="1"/>
        <v>0</v>
      </c>
      <c r="M67" s="335"/>
      <c r="N67" s="162">
        <f t="shared" si="2"/>
        <v>0</v>
      </c>
      <c r="O67" s="162">
        <f t="shared" si="3"/>
        <v>0</v>
      </c>
      <c r="P67" s="4"/>
    </row>
    <row r="68" spans="2:16">
      <c r="B68" s="9" t="str">
        <f t="shared" si="4"/>
        <v/>
      </c>
      <c r="C68" s="157">
        <f>IF(D11="","-",+C67+1)</f>
        <v>2068</v>
      </c>
      <c r="D68" s="166">
        <f>IF(F67+SUM(E$17:E67)=D$10,F67,D$10-SUM(E$17:E67))</f>
        <v>0</v>
      </c>
      <c r="E68" s="164">
        <f t="shared" si="5"/>
        <v>0</v>
      </c>
      <c r="F68" s="163">
        <f t="shared" si="6"/>
        <v>0</v>
      </c>
      <c r="G68" s="165">
        <f t="shared" si="7"/>
        <v>0</v>
      </c>
      <c r="H68" s="147">
        <f t="shared" si="8"/>
        <v>0</v>
      </c>
      <c r="I68" s="160">
        <f t="shared" si="0"/>
        <v>0</v>
      </c>
      <c r="J68" s="160"/>
      <c r="K68" s="335"/>
      <c r="L68" s="162">
        <f t="shared" si="1"/>
        <v>0</v>
      </c>
      <c r="M68" s="335"/>
      <c r="N68" s="162">
        <f t="shared" si="2"/>
        <v>0</v>
      </c>
      <c r="O68" s="162">
        <f t="shared" si="3"/>
        <v>0</v>
      </c>
      <c r="P68" s="4"/>
    </row>
    <row r="69" spans="2:16">
      <c r="B69" s="9" t="str">
        <f t="shared" si="4"/>
        <v/>
      </c>
      <c r="C69" s="157">
        <f>IF(D11="","-",+C68+1)</f>
        <v>2069</v>
      </c>
      <c r="D69" s="166">
        <f>IF(F68+SUM(E$17:E68)=D$10,F68,D$10-SUM(E$17:E68))</f>
        <v>0</v>
      </c>
      <c r="E69" s="164">
        <f t="shared" si="5"/>
        <v>0</v>
      </c>
      <c r="F69" s="163">
        <f t="shared" si="6"/>
        <v>0</v>
      </c>
      <c r="G69" s="165">
        <f t="shared" si="7"/>
        <v>0</v>
      </c>
      <c r="H69" s="147">
        <f t="shared" si="8"/>
        <v>0</v>
      </c>
      <c r="I69" s="160">
        <f t="shared" si="0"/>
        <v>0</v>
      </c>
      <c r="J69" s="160"/>
      <c r="K69" s="335"/>
      <c r="L69" s="162">
        <f t="shared" si="1"/>
        <v>0</v>
      </c>
      <c r="M69" s="335"/>
      <c r="N69" s="162">
        <f t="shared" si="2"/>
        <v>0</v>
      </c>
      <c r="O69" s="162">
        <f t="shared" si="3"/>
        <v>0</v>
      </c>
      <c r="P69" s="4"/>
    </row>
    <row r="70" spans="2:16">
      <c r="B70" s="9" t="str">
        <f t="shared" si="4"/>
        <v/>
      </c>
      <c r="C70" s="157">
        <f>IF(D11="","-",+C69+1)</f>
        <v>2070</v>
      </c>
      <c r="D70" s="166">
        <f>IF(F69+SUM(E$17:E69)=D$10,F69,D$10-SUM(E$17:E69))</f>
        <v>0</v>
      </c>
      <c r="E70" s="164">
        <f t="shared" si="5"/>
        <v>0</v>
      </c>
      <c r="F70" s="163">
        <f t="shared" si="6"/>
        <v>0</v>
      </c>
      <c r="G70" s="165">
        <f t="shared" si="7"/>
        <v>0</v>
      </c>
      <c r="H70" s="147">
        <f t="shared" si="8"/>
        <v>0</v>
      </c>
      <c r="I70" s="160">
        <f t="shared" si="0"/>
        <v>0</v>
      </c>
      <c r="J70" s="160"/>
      <c r="K70" s="335"/>
      <c r="L70" s="162">
        <f t="shared" si="1"/>
        <v>0</v>
      </c>
      <c r="M70" s="335"/>
      <c r="N70" s="162">
        <f t="shared" si="2"/>
        <v>0</v>
      </c>
      <c r="O70" s="162">
        <f t="shared" si="3"/>
        <v>0</v>
      </c>
      <c r="P70" s="4"/>
    </row>
    <row r="71" spans="2:16">
      <c r="B71" s="9" t="str">
        <f t="shared" si="4"/>
        <v/>
      </c>
      <c r="C71" s="157">
        <f>IF(D11="","-",+C70+1)</f>
        <v>2071</v>
      </c>
      <c r="D71" s="166">
        <f>IF(F70+SUM(E$17:E70)=D$10,F70,D$10-SUM(E$17:E70))</f>
        <v>0</v>
      </c>
      <c r="E71" s="164">
        <f t="shared" si="5"/>
        <v>0</v>
      </c>
      <c r="F71" s="163">
        <f t="shared" si="6"/>
        <v>0</v>
      </c>
      <c r="G71" s="165">
        <f t="shared" si="7"/>
        <v>0</v>
      </c>
      <c r="H71" s="147">
        <f t="shared" si="8"/>
        <v>0</v>
      </c>
      <c r="I71" s="160">
        <f t="shared" si="0"/>
        <v>0</v>
      </c>
      <c r="J71" s="160"/>
      <c r="K71" s="335"/>
      <c r="L71" s="162">
        <f t="shared" si="1"/>
        <v>0</v>
      </c>
      <c r="M71" s="335"/>
      <c r="N71" s="162">
        <f t="shared" si="2"/>
        <v>0</v>
      </c>
      <c r="O71" s="162">
        <f t="shared" si="3"/>
        <v>0</v>
      </c>
      <c r="P71" s="4"/>
    </row>
    <row r="72" spans="2:16" ht="13.5" thickBot="1">
      <c r="B72" s="9" t="str">
        <f t="shared" si="4"/>
        <v/>
      </c>
      <c r="C72" s="168">
        <f>IF(D11="","-",+C71+1)</f>
        <v>2072</v>
      </c>
      <c r="D72" s="462">
        <f>IF(F71+SUM(E$17:E71)=D$10,F71,D$10-SUM(E$17:E71))</f>
        <v>0</v>
      </c>
      <c r="E72" s="170">
        <f t="shared" si="5"/>
        <v>0</v>
      </c>
      <c r="F72" s="169">
        <f t="shared" si="6"/>
        <v>0</v>
      </c>
      <c r="G72" s="377">
        <f t="shared" si="7"/>
        <v>0</v>
      </c>
      <c r="H72" s="130">
        <f t="shared" si="8"/>
        <v>0</v>
      </c>
      <c r="I72" s="172">
        <f t="shared" si="0"/>
        <v>0</v>
      </c>
      <c r="J72" s="160"/>
      <c r="K72" s="336"/>
      <c r="L72" s="173">
        <f t="shared" si="1"/>
        <v>0</v>
      </c>
      <c r="M72" s="336"/>
      <c r="N72" s="173">
        <f t="shared" si="2"/>
        <v>0</v>
      </c>
      <c r="O72" s="173">
        <f t="shared" si="3"/>
        <v>0</v>
      </c>
      <c r="P72" s="4"/>
    </row>
    <row r="73" spans="2:16">
      <c r="C73" s="158" t="s">
        <v>72</v>
      </c>
      <c r="D73" s="115"/>
      <c r="E73" s="115">
        <f>SUM(E17:E72)</f>
        <v>330871.99999999988</v>
      </c>
      <c r="F73" s="115"/>
      <c r="G73" s="115">
        <f>SUM(G17:G72)</f>
        <v>1102139.0045476847</v>
      </c>
      <c r="H73" s="115">
        <f>SUM(H17:H72)</f>
        <v>1102139.0045476847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21 of 28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2018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40500.711549338856</v>
      </c>
      <c r="N87" s="202">
        <f>IF(J92&lt;D11,0,VLOOKUP(J92,C17:O72,11))</f>
        <v>40500.711549338856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40916.73033605556</v>
      </c>
      <c r="N88" s="204">
        <f>IF(J92&lt;D11,0,VLOOKUP(J92,C99:P154,7))</f>
        <v>40916.73033605556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Darlington-Roman Nose 138 kV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416.0187867167042</v>
      </c>
      <c r="N89" s="207">
        <f>+N88-N87</f>
        <v>416.0187867167042</v>
      </c>
      <c r="O89" s="208">
        <f>+O88-O87</f>
        <v>0</v>
      </c>
      <c r="P89" s="1"/>
    </row>
    <row r="90" spans="1:16" ht="13.5" thickBot="1">
      <c r="C90" s="174"/>
      <c r="D90" s="177" t="str">
        <f>D8</f>
        <v/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>
        <f>+D9</f>
        <v>0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222">
        <v>330872</v>
      </c>
      <c r="E92" s="22" t="s">
        <v>89</v>
      </c>
      <c r="H92" s="139"/>
      <c r="I92" s="139"/>
      <c r="J92" s="140">
        <f>+'PSO.WS.G.BPU.ATRR.True-up'!M16</f>
        <v>2018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2017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6</v>
      </c>
      <c r="E94" s="141" t="s">
        <v>51</v>
      </c>
      <c r="F94" s="139"/>
      <c r="G94" s="139"/>
      <c r="J94" s="145">
        <f>'PSO.WS.G.BPU.ATRR.True-up'!$F$81</f>
        <v>0.10273556682691798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43</v>
      </c>
      <c r="E95" s="141" t="s">
        <v>54</v>
      </c>
      <c r="F95" s="139"/>
      <c r="G95" s="139"/>
      <c r="J95" s="145">
        <f>IF(H87="",J94,'PSO.WS.G.BPU.ATRR.True-up'!$F$80)</f>
        <v>0.10273556682691798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7695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277</v>
      </c>
      <c r="I97" s="339" t="s">
        <v>278</v>
      </c>
      <c r="J97" s="214" t="s">
        <v>93</v>
      </c>
      <c r="K97" s="216"/>
      <c r="L97" s="151" t="s">
        <v>97</v>
      </c>
      <c r="M97" s="151" t="s">
        <v>94</v>
      </c>
      <c r="N97" s="151" t="s">
        <v>97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2017</v>
      </c>
      <c r="D99" s="435">
        <v>0</v>
      </c>
      <c r="E99" s="436">
        <v>3596</v>
      </c>
      <c r="F99" s="437">
        <v>327228</v>
      </c>
      <c r="G99" s="447">
        <v>163614</v>
      </c>
      <c r="H99" s="448">
        <v>24350.848452847567</v>
      </c>
      <c r="I99" s="449">
        <v>24350.848452847567</v>
      </c>
      <c r="J99" s="162">
        <f t="shared" ref="J99:J130" si="9">+I99-H99</f>
        <v>0</v>
      </c>
      <c r="K99" s="162"/>
      <c r="L99" s="338">
        <f>H99</f>
        <v>24350.848452847567</v>
      </c>
      <c r="M99" s="439">
        <f>IF(L99&lt;&gt;0,+H99-L99,0)</f>
        <v>0</v>
      </c>
      <c r="N99" s="338">
        <f>I99</f>
        <v>24350.848452847567</v>
      </c>
      <c r="O99" s="162">
        <f>IF(N99&lt;&gt;0,+I99-N99,0)</f>
        <v>0</v>
      </c>
      <c r="P99" s="160">
        <f>+O99-M99</f>
        <v>0</v>
      </c>
    </row>
    <row r="100" spans="1:16">
      <c r="B100" s="9" t="str">
        <f>IF(D100=F99,"","IU")</f>
        <v/>
      </c>
      <c r="C100" s="157">
        <f>IF(D93="","-",+C99+1)</f>
        <v>2018</v>
      </c>
      <c r="D100" s="158">
        <v>327228</v>
      </c>
      <c r="E100" s="164">
        <v>7694</v>
      </c>
      <c r="F100" s="163">
        <v>319534</v>
      </c>
      <c r="G100" s="163">
        <v>323381</v>
      </c>
      <c r="H100" s="333">
        <v>40916.73033605556</v>
      </c>
      <c r="I100" s="344">
        <v>40916.73033605556</v>
      </c>
      <c r="J100" s="162">
        <f t="shared" si="9"/>
        <v>0</v>
      </c>
      <c r="K100" s="162"/>
      <c r="L100" s="335"/>
      <c r="M100" s="162">
        <f t="shared" ref="M100:M130" si="10">IF(L100&lt;&gt;0,+H100-L100,0)</f>
        <v>0</v>
      </c>
      <c r="N100" s="335"/>
      <c r="O100" s="162">
        <f t="shared" ref="O100:O130" si="11">IF(N100&lt;&gt;0,+I100-N100,0)</f>
        <v>0</v>
      </c>
      <c r="P100" s="162">
        <f t="shared" ref="P100:P130" si="12">+O100-M100</f>
        <v>0</v>
      </c>
    </row>
    <row r="101" spans="1:16">
      <c r="B101" s="9" t="str">
        <f t="shared" ref="B101:B154" si="13">IF(D101=F100,"","IU")</f>
        <v>IU</v>
      </c>
      <c r="C101" s="157">
        <f>IF(D93="","-",+C100+1)</f>
        <v>2019</v>
      </c>
      <c r="D101" s="158">
        <f>IF(F100+SUM(E$99:E100)=D$92,F100,D$92-SUM(E$99:E100))</f>
        <v>319582</v>
      </c>
      <c r="E101" s="164">
        <f t="shared" ref="E101:E154" si="14">IF(+J$96&lt;F100,J$96,D101)</f>
        <v>7695</v>
      </c>
      <c r="F101" s="163">
        <f t="shared" ref="F101:F154" si="15">+D101-E101</f>
        <v>311887</v>
      </c>
      <c r="G101" s="163">
        <f t="shared" ref="G101:G154" si="16">+(F101+D101)/2</f>
        <v>315734.5</v>
      </c>
      <c r="H101" s="333">
        <f t="shared" ref="H101:H154" si="17">+J$94*G101+E101</f>
        <v>40132.162824313535</v>
      </c>
      <c r="I101" s="344">
        <f t="shared" ref="I101:I154" si="18">+J$95*G101+E101</f>
        <v>40132.162824313535</v>
      </c>
      <c r="J101" s="162">
        <f t="shared" si="9"/>
        <v>0</v>
      </c>
      <c r="K101" s="162"/>
      <c r="L101" s="335"/>
      <c r="M101" s="162">
        <f t="shared" si="10"/>
        <v>0</v>
      </c>
      <c r="N101" s="335"/>
      <c r="O101" s="162">
        <f t="shared" si="11"/>
        <v>0</v>
      </c>
      <c r="P101" s="162">
        <f t="shared" si="12"/>
        <v>0</v>
      </c>
    </row>
    <row r="102" spans="1:16">
      <c r="B102" s="9" t="str">
        <f t="shared" si="13"/>
        <v/>
      </c>
      <c r="C102" s="157">
        <f>IF(D93="","-",+C101+1)</f>
        <v>2020</v>
      </c>
      <c r="D102" s="158">
        <f>IF(F101+SUM(E$99:E101)=D$92,F101,D$92-SUM(E$99:E101))</f>
        <v>311887</v>
      </c>
      <c r="E102" s="164">
        <f t="shared" si="14"/>
        <v>7695</v>
      </c>
      <c r="F102" s="163">
        <f t="shared" si="15"/>
        <v>304192</v>
      </c>
      <c r="G102" s="163">
        <f t="shared" si="16"/>
        <v>308039.5</v>
      </c>
      <c r="H102" s="333">
        <f t="shared" si="17"/>
        <v>39341.612637580401</v>
      </c>
      <c r="I102" s="344">
        <f t="shared" si="18"/>
        <v>39341.612637580401</v>
      </c>
      <c r="J102" s="162">
        <f t="shared" si="9"/>
        <v>0</v>
      </c>
      <c r="K102" s="162"/>
      <c r="L102" s="335"/>
      <c r="M102" s="162">
        <f t="shared" si="10"/>
        <v>0</v>
      </c>
      <c r="N102" s="335"/>
      <c r="O102" s="162">
        <f t="shared" si="11"/>
        <v>0</v>
      </c>
      <c r="P102" s="162">
        <f t="shared" si="12"/>
        <v>0</v>
      </c>
    </row>
    <row r="103" spans="1:16">
      <c r="B103" s="9" t="str">
        <f t="shared" si="13"/>
        <v/>
      </c>
      <c r="C103" s="157">
        <f>IF(D93="","-",+C102+1)</f>
        <v>2021</v>
      </c>
      <c r="D103" s="158">
        <f>IF(F102+SUM(E$99:E102)=D$92,F102,D$92-SUM(E$99:E102))</f>
        <v>304192</v>
      </c>
      <c r="E103" s="164">
        <f t="shared" si="14"/>
        <v>7695</v>
      </c>
      <c r="F103" s="163">
        <f t="shared" si="15"/>
        <v>296497</v>
      </c>
      <c r="G103" s="163">
        <f t="shared" si="16"/>
        <v>300344.5</v>
      </c>
      <c r="H103" s="333">
        <f t="shared" si="17"/>
        <v>38551.062450847268</v>
      </c>
      <c r="I103" s="344">
        <f t="shared" si="18"/>
        <v>38551.062450847268</v>
      </c>
      <c r="J103" s="162">
        <f t="shared" si="9"/>
        <v>0</v>
      </c>
      <c r="K103" s="162"/>
      <c r="L103" s="335"/>
      <c r="M103" s="162">
        <f t="shared" si="10"/>
        <v>0</v>
      </c>
      <c r="N103" s="335"/>
      <c r="O103" s="162">
        <f t="shared" si="11"/>
        <v>0</v>
      </c>
      <c r="P103" s="162">
        <f t="shared" si="12"/>
        <v>0</v>
      </c>
    </row>
    <row r="104" spans="1:16">
      <c r="B104" s="9" t="str">
        <f t="shared" si="13"/>
        <v/>
      </c>
      <c r="C104" s="157">
        <f>IF(D93="","-",+C103+1)</f>
        <v>2022</v>
      </c>
      <c r="D104" s="158">
        <f>IF(F103+SUM(E$99:E103)=D$92,F103,D$92-SUM(E$99:E103))</f>
        <v>296497</v>
      </c>
      <c r="E104" s="164">
        <f t="shared" si="14"/>
        <v>7695</v>
      </c>
      <c r="F104" s="163">
        <f t="shared" si="15"/>
        <v>288802</v>
      </c>
      <c r="G104" s="163">
        <f t="shared" si="16"/>
        <v>292649.5</v>
      </c>
      <c r="H104" s="333">
        <f t="shared" si="17"/>
        <v>37760.512264114135</v>
      </c>
      <c r="I104" s="344">
        <f t="shared" si="18"/>
        <v>37760.512264114135</v>
      </c>
      <c r="J104" s="162">
        <f t="shared" si="9"/>
        <v>0</v>
      </c>
      <c r="K104" s="162"/>
      <c r="L104" s="335"/>
      <c r="M104" s="162">
        <f t="shared" si="10"/>
        <v>0</v>
      </c>
      <c r="N104" s="335"/>
      <c r="O104" s="162">
        <f t="shared" si="11"/>
        <v>0</v>
      </c>
      <c r="P104" s="162">
        <f t="shared" si="12"/>
        <v>0</v>
      </c>
    </row>
    <row r="105" spans="1:16">
      <c r="B105" s="9" t="str">
        <f t="shared" si="13"/>
        <v/>
      </c>
      <c r="C105" s="157">
        <f>IF(D93="","-",+C104+1)</f>
        <v>2023</v>
      </c>
      <c r="D105" s="158">
        <f>IF(F104+SUM(E$99:E104)=D$92,F104,D$92-SUM(E$99:E104))</f>
        <v>288802</v>
      </c>
      <c r="E105" s="164">
        <f t="shared" si="14"/>
        <v>7695</v>
      </c>
      <c r="F105" s="163">
        <f t="shared" si="15"/>
        <v>281107</v>
      </c>
      <c r="G105" s="163">
        <f t="shared" si="16"/>
        <v>284954.5</v>
      </c>
      <c r="H105" s="333">
        <f t="shared" si="17"/>
        <v>36969.962077381002</v>
      </c>
      <c r="I105" s="344">
        <f t="shared" si="18"/>
        <v>36969.962077381002</v>
      </c>
      <c r="J105" s="162">
        <f t="shared" si="9"/>
        <v>0</v>
      </c>
      <c r="K105" s="162"/>
      <c r="L105" s="335"/>
      <c r="M105" s="162">
        <f t="shared" si="10"/>
        <v>0</v>
      </c>
      <c r="N105" s="335"/>
      <c r="O105" s="162">
        <f t="shared" si="11"/>
        <v>0</v>
      </c>
      <c r="P105" s="162">
        <f t="shared" si="12"/>
        <v>0</v>
      </c>
    </row>
    <row r="106" spans="1:16">
      <c r="B106" s="9" t="str">
        <f t="shared" si="13"/>
        <v/>
      </c>
      <c r="C106" s="157">
        <f>IF(D93="","-",+C105+1)</f>
        <v>2024</v>
      </c>
      <c r="D106" s="158">
        <f>IF(F105+SUM(E$99:E105)=D$92,F105,D$92-SUM(E$99:E105))</f>
        <v>281107</v>
      </c>
      <c r="E106" s="164">
        <f t="shared" si="14"/>
        <v>7695</v>
      </c>
      <c r="F106" s="163">
        <f t="shared" si="15"/>
        <v>273412</v>
      </c>
      <c r="G106" s="163">
        <f t="shared" si="16"/>
        <v>277259.5</v>
      </c>
      <c r="H106" s="333">
        <f t="shared" si="17"/>
        <v>36179.411890647869</v>
      </c>
      <c r="I106" s="344">
        <f t="shared" si="18"/>
        <v>36179.411890647869</v>
      </c>
      <c r="J106" s="162">
        <f t="shared" si="9"/>
        <v>0</v>
      </c>
      <c r="K106" s="162"/>
      <c r="L106" s="335"/>
      <c r="M106" s="162">
        <f t="shared" si="10"/>
        <v>0</v>
      </c>
      <c r="N106" s="335"/>
      <c r="O106" s="162">
        <f t="shared" si="11"/>
        <v>0</v>
      </c>
      <c r="P106" s="162">
        <f t="shared" si="12"/>
        <v>0</v>
      </c>
    </row>
    <row r="107" spans="1:16">
      <c r="B107" s="9" t="str">
        <f t="shared" si="13"/>
        <v/>
      </c>
      <c r="C107" s="157">
        <f>IF(D93="","-",+C106+1)</f>
        <v>2025</v>
      </c>
      <c r="D107" s="158">
        <f>IF(F106+SUM(E$99:E106)=D$92,F106,D$92-SUM(E$99:E106))</f>
        <v>273412</v>
      </c>
      <c r="E107" s="164">
        <f t="shared" si="14"/>
        <v>7695</v>
      </c>
      <c r="F107" s="163">
        <f t="shared" si="15"/>
        <v>265717</v>
      </c>
      <c r="G107" s="163">
        <f t="shared" si="16"/>
        <v>269564.5</v>
      </c>
      <c r="H107" s="333">
        <f t="shared" si="17"/>
        <v>35388.861703914736</v>
      </c>
      <c r="I107" s="344">
        <f t="shared" si="18"/>
        <v>35388.861703914736</v>
      </c>
      <c r="J107" s="162">
        <f t="shared" si="9"/>
        <v>0</v>
      </c>
      <c r="K107" s="162"/>
      <c r="L107" s="335"/>
      <c r="M107" s="162">
        <f t="shared" si="10"/>
        <v>0</v>
      </c>
      <c r="N107" s="335"/>
      <c r="O107" s="162">
        <f t="shared" si="11"/>
        <v>0</v>
      </c>
      <c r="P107" s="162">
        <f t="shared" si="12"/>
        <v>0</v>
      </c>
    </row>
    <row r="108" spans="1:16">
      <c r="B108" s="9" t="str">
        <f t="shared" si="13"/>
        <v/>
      </c>
      <c r="C108" s="157">
        <f>IF(D93="","-",+C107+1)</f>
        <v>2026</v>
      </c>
      <c r="D108" s="158">
        <f>IF(F107+SUM(E$99:E107)=D$92,F107,D$92-SUM(E$99:E107))</f>
        <v>265717</v>
      </c>
      <c r="E108" s="164">
        <f t="shared" si="14"/>
        <v>7695</v>
      </c>
      <c r="F108" s="163">
        <f t="shared" si="15"/>
        <v>258022</v>
      </c>
      <c r="G108" s="163">
        <f t="shared" si="16"/>
        <v>261869.5</v>
      </c>
      <c r="H108" s="333">
        <f t="shared" si="17"/>
        <v>34598.311517181603</v>
      </c>
      <c r="I108" s="344">
        <f t="shared" si="18"/>
        <v>34598.311517181603</v>
      </c>
      <c r="J108" s="162">
        <f t="shared" si="9"/>
        <v>0</v>
      </c>
      <c r="K108" s="162"/>
      <c r="L108" s="335"/>
      <c r="M108" s="162">
        <f t="shared" si="10"/>
        <v>0</v>
      </c>
      <c r="N108" s="335"/>
      <c r="O108" s="162">
        <f t="shared" si="11"/>
        <v>0</v>
      </c>
      <c r="P108" s="162">
        <f t="shared" si="12"/>
        <v>0</v>
      </c>
    </row>
    <row r="109" spans="1:16">
      <c r="B109" s="9" t="str">
        <f t="shared" si="13"/>
        <v/>
      </c>
      <c r="C109" s="157">
        <f>IF(D93="","-",+C108+1)</f>
        <v>2027</v>
      </c>
      <c r="D109" s="158">
        <f>IF(F108+SUM(E$99:E108)=D$92,F108,D$92-SUM(E$99:E108))</f>
        <v>258022</v>
      </c>
      <c r="E109" s="164">
        <f t="shared" si="14"/>
        <v>7695</v>
      </c>
      <c r="F109" s="163">
        <f t="shared" si="15"/>
        <v>250327</v>
      </c>
      <c r="G109" s="163">
        <f t="shared" si="16"/>
        <v>254174.5</v>
      </c>
      <c r="H109" s="333">
        <f t="shared" si="17"/>
        <v>33807.761330448462</v>
      </c>
      <c r="I109" s="344">
        <f t="shared" si="18"/>
        <v>33807.761330448462</v>
      </c>
      <c r="J109" s="162">
        <f t="shared" si="9"/>
        <v>0</v>
      </c>
      <c r="K109" s="162"/>
      <c r="L109" s="335"/>
      <c r="M109" s="162">
        <f t="shared" si="10"/>
        <v>0</v>
      </c>
      <c r="N109" s="335"/>
      <c r="O109" s="162">
        <f t="shared" si="11"/>
        <v>0</v>
      </c>
      <c r="P109" s="162">
        <f t="shared" si="12"/>
        <v>0</v>
      </c>
    </row>
    <row r="110" spans="1:16">
      <c r="B110" s="9" t="str">
        <f t="shared" si="13"/>
        <v/>
      </c>
      <c r="C110" s="157">
        <f>IF(D93="","-",+C109+1)</f>
        <v>2028</v>
      </c>
      <c r="D110" s="158">
        <f>IF(F109+SUM(E$99:E109)=D$92,F109,D$92-SUM(E$99:E109))</f>
        <v>250327</v>
      </c>
      <c r="E110" s="164">
        <f t="shared" si="14"/>
        <v>7695</v>
      </c>
      <c r="F110" s="163">
        <f t="shared" si="15"/>
        <v>242632</v>
      </c>
      <c r="G110" s="163">
        <f t="shared" si="16"/>
        <v>246479.5</v>
      </c>
      <c r="H110" s="333">
        <f t="shared" si="17"/>
        <v>33017.211143715329</v>
      </c>
      <c r="I110" s="344">
        <f t="shared" si="18"/>
        <v>33017.211143715329</v>
      </c>
      <c r="J110" s="162">
        <f t="shared" si="9"/>
        <v>0</v>
      </c>
      <c r="K110" s="162"/>
      <c r="L110" s="335"/>
      <c r="M110" s="162">
        <f t="shared" si="10"/>
        <v>0</v>
      </c>
      <c r="N110" s="335"/>
      <c r="O110" s="162">
        <f t="shared" si="11"/>
        <v>0</v>
      </c>
      <c r="P110" s="162">
        <f t="shared" si="12"/>
        <v>0</v>
      </c>
    </row>
    <row r="111" spans="1:16">
      <c r="B111" s="9" t="str">
        <f t="shared" si="13"/>
        <v/>
      </c>
      <c r="C111" s="157">
        <f>IF(D93="","-",+C110+1)</f>
        <v>2029</v>
      </c>
      <c r="D111" s="158">
        <f>IF(F110+SUM(E$99:E110)=D$92,F110,D$92-SUM(E$99:E110))</f>
        <v>242632</v>
      </c>
      <c r="E111" s="164">
        <f t="shared" si="14"/>
        <v>7695</v>
      </c>
      <c r="F111" s="163">
        <f t="shared" si="15"/>
        <v>234937</v>
      </c>
      <c r="G111" s="163">
        <f t="shared" si="16"/>
        <v>238784.5</v>
      </c>
      <c r="H111" s="333">
        <f t="shared" si="17"/>
        <v>32226.660956982196</v>
      </c>
      <c r="I111" s="344">
        <f t="shared" si="18"/>
        <v>32226.660956982196</v>
      </c>
      <c r="J111" s="162">
        <f t="shared" si="9"/>
        <v>0</v>
      </c>
      <c r="K111" s="162"/>
      <c r="L111" s="335"/>
      <c r="M111" s="162">
        <f t="shared" si="10"/>
        <v>0</v>
      </c>
      <c r="N111" s="335"/>
      <c r="O111" s="162">
        <f t="shared" si="11"/>
        <v>0</v>
      </c>
      <c r="P111" s="162">
        <f t="shared" si="12"/>
        <v>0</v>
      </c>
    </row>
    <row r="112" spans="1:16">
      <c r="B112" s="9" t="str">
        <f t="shared" si="13"/>
        <v/>
      </c>
      <c r="C112" s="157">
        <f>IF(D93="","-",+C111+1)</f>
        <v>2030</v>
      </c>
      <c r="D112" s="158">
        <f>IF(F111+SUM(E$99:E111)=D$92,F111,D$92-SUM(E$99:E111))</f>
        <v>234937</v>
      </c>
      <c r="E112" s="164">
        <f t="shared" si="14"/>
        <v>7695</v>
      </c>
      <c r="F112" s="163">
        <f t="shared" si="15"/>
        <v>227242</v>
      </c>
      <c r="G112" s="163">
        <f t="shared" si="16"/>
        <v>231089.5</v>
      </c>
      <c r="H112" s="333">
        <f t="shared" si="17"/>
        <v>31436.110770249063</v>
      </c>
      <c r="I112" s="344">
        <f t="shared" si="18"/>
        <v>31436.110770249063</v>
      </c>
      <c r="J112" s="162">
        <f t="shared" si="9"/>
        <v>0</v>
      </c>
      <c r="K112" s="162"/>
      <c r="L112" s="335"/>
      <c r="M112" s="162">
        <f t="shared" si="10"/>
        <v>0</v>
      </c>
      <c r="N112" s="335"/>
      <c r="O112" s="162">
        <f t="shared" si="11"/>
        <v>0</v>
      </c>
      <c r="P112" s="162">
        <f t="shared" si="12"/>
        <v>0</v>
      </c>
    </row>
    <row r="113" spans="2:16">
      <c r="B113" s="9" t="str">
        <f t="shared" si="13"/>
        <v/>
      </c>
      <c r="C113" s="157">
        <f>IF(D93="","-",+C112+1)</f>
        <v>2031</v>
      </c>
      <c r="D113" s="158">
        <f>IF(F112+SUM(E$99:E112)=D$92,F112,D$92-SUM(E$99:E112))</f>
        <v>227242</v>
      </c>
      <c r="E113" s="164">
        <f t="shared" si="14"/>
        <v>7695</v>
      </c>
      <c r="F113" s="163">
        <f t="shared" si="15"/>
        <v>219547</v>
      </c>
      <c r="G113" s="163">
        <f t="shared" si="16"/>
        <v>223394.5</v>
      </c>
      <c r="H113" s="333">
        <f t="shared" si="17"/>
        <v>30645.560583515929</v>
      </c>
      <c r="I113" s="344">
        <f t="shared" si="18"/>
        <v>30645.560583515929</v>
      </c>
      <c r="J113" s="162">
        <f t="shared" si="9"/>
        <v>0</v>
      </c>
      <c r="K113" s="162"/>
      <c r="L113" s="335"/>
      <c r="M113" s="162">
        <f t="shared" si="10"/>
        <v>0</v>
      </c>
      <c r="N113" s="335"/>
      <c r="O113" s="162">
        <f t="shared" si="11"/>
        <v>0</v>
      </c>
      <c r="P113" s="162">
        <f t="shared" si="12"/>
        <v>0</v>
      </c>
    </row>
    <row r="114" spans="2:16">
      <c r="B114" s="9" t="str">
        <f t="shared" si="13"/>
        <v/>
      </c>
      <c r="C114" s="157">
        <f>IF(D93="","-",+C113+1)</f>
        <v>2032</v>
      </c>
      <c r="D114" s="158">
        <f>IF(F113+SUM(E$99:E113)=D$92,F113,D$92-SUM(E$99:E113))</f>
        <v>219547</v>
      </c>
      <c r="E114" s="164">
        <f t="shared" si="14"/>
        <v>7695</v>
      </c>
      <c r="F114" s="163">
        <f t="shared" si="15"/>
        <v>211852</v>
      </c>
      <c r="G114" s="163">
        <f t="shared" si="16"/>
        <v>215699.5</v>
      </c>
      <c r="H114" s="333">
        <f t="shared" si="17"/>
        <v>29855.010396782796</v>
      </c>
      <c r="I114" s="344">
        <f t="shared" si="18"/>
        <v>29855.010396782796</v>
      </c>
      <c r="J114" s="162">
        <f t="shared" si="9"/>
        <v>0</v>
      </c>
      <c r="K114" s="162"/>
      <c r="L114" s="335"/>
      <c r="M114" s="162">
        <f t="shared" si="10"/>
        <v>0</v>
      </c>
      <c r="N114" s="335"/>
      <c r="O114" s="162">
        <f t="shared" si="11"/>
        <v>0</v>
      </c>
      <c r="P114" s="162">
        <f t="shared" si="12"/>
        <v>0</v>
      </c>
    </row>
    <row r="115" spans="2:16">
      <c r="B115" s="9" t="str">
        <f t="shared" si="13"/>
        <v/>
      </c>
      <c r="C115" s="157">
        <f>IF(D93="","-",+C114+1)</f>
        <v>2033</v>
      </c>
      <c r="D115" s="158">
        <f>IF(F114+SUM(E$99:E114)=D$92,F114,D$92-SUM(E$99:E114))</f>
        <v>211852</v>
      </c>
      <c r="E115" s="164">
        <f t="shared" si="14"/>
        <v>7695</v>
      </c>
      <c r="F115" s="163">
        <f t="shared" si="15"/>
        <v>204157</v>
      </c>
      <c r="G115" s="163">
        <f t="shared" si="16"/>
        <v>208004.5</v>
      </c>
      <c r="H115" s="333">
        <f t="shared" si="17"/>
        <v>29064.46021004966</v>
      </c>
      <c r="I115" s="344">
        <f t="shared" si="18"/>
        <v>29064.46021004966</v>
      </c>
      <c r="J115" s="162">
        <f t="shared" si="9"/>
        <v>0</v>
      </c>
      <c r="K115" s="162"/>
      <c r="L115" s="335"/>
      <c r="M115" s="162">
        <f t="shared" si="10"/>
        <v>0</v>
      </c>
      <c r="N115" s="335"/>
      <c r="O115" s="162">
        <f t="shared" si="11"/>
        <v>0</v>
      </c>
      <c r="P115" s="162">
        <f t="shared" si="12"/>
        <v>0</v>
      </c>
    </row>
    <row r="116" spans="2:16">
      <c r="B116" s="9" t="str">
        <f t="shared" si="13"/>
        <v/>
      </c>
      <c r="C116" s="157">
        <f>IF(D93="","-",+C115+1)</f>
        <v>2034</v>
      </c>
      <c r="D116" s="158">
        <f>IF(F115+SUM(E$99:E115)=D$92,F115,D$92-SUM(E$99:E115))</f>
        <v>204157</v>
      </c>
      <c r="E116" s="164">
        <f t="shared" si="14"/>
        <v>7695</v>
      </c>
      <c r="F116" s="163">
        <f t="shared" si="15"/>
        <v>196462</v>
      </c>
      <c r="G116" s="163">
        <f t="shared" si="16"/>
        <v>200309.5</v>
      </c>
      <c r="H116" s="333">
        <f t="shared" si="17"/>
        <v>28273.910023316526</v>
      </c>
      <c r="I116" s="344">
        <f t="shared" si="18"/>
        <v>28273.910023316526</v>
      </c>
      <c r="J116" s="162">
        <f t="shared" si="9"/>
        <v>0</v>
      </c>
      <c r="K116" s="162"/>
      <c r="L116" s="335"/>
      <c r="M116" s="162">
        <f t="shared" si="10"/>
        <v>0</v>
      </c>
      <c r="N116" s="335"/>
      <c r="O116" s="162">
        <f t="shared" si="11"/>
        <v>0</v>
      </c>
      <c r="P116" s="162">
        <f t="shared" si="12"/>
        <v>0</v>
      </c>
    </row>
    <row r="117" spans="2:16">
      <c r="B117" s="9" t="str">
        <f t="shared" si="13"/>
        <v/>
      </c>
      <c r="C117" s="157">
        <f>IF(D93="","-",+C116+1)</f>
        <v>2035</v>
      </c>
      <c r="D117" s="158">
        <f>IF(F116+SUM(E$99:E116)=D$92,F116,D$92-SUM(E$99:E116))</f>
        <v>196462</v>
      </c>
      <c r="E117" s="164">
        <f t="shared" si="14"/>
        <v>7695</v>
      </c>
      <c r="F117" s="163">
        <f t="shared" si="15"/>
        <v>188767</v>
      </c>
      <c r="G117" s="163">
        <f t="shared" si="16"/>
        <v>192614.5</v>
      </c>
      <c r="H117" s="333">
        <f t="shared" si="17"/>
        <v>27483.359836583393</v>
      </c>
      <c r="I117" s="344">
        <f t="shared" si="18"/>
        <v>27483.359836583393</v>
      </c>
      <c r="J117" s="162">
        <f t="shared" si="9"/>
        <v>0</v>
      </c>
      <c r="K117" s="162"/>
      <c r="L117" s="335"/>
      <c r="M117" s="162">
        <f t="shared" si="10"/>
        <v>0</v>
      </c>
      <c r="N117" s="335"/>
      <c r="O117" s="162">
        <f t="shared" si="11"/>
        <v>0</v>
      </c>
      <c r="P117" s="162">
        <f t="shared" si="12"/>
        <v>0</v>
      </c>
    </row>
    <row r="118" spans="2:16">
      <c r="B118" s="9" t="str">
        <f t="shared" si="13"/>
        <v/>
      </c>
      <c r="C118" s="157">
        <f>IF(D93="","-",+C117+1)</f>
        <v>2036</v>
      </c>
      <c r="D118" s="158">
        <f>IF(F117+SUM(E$99:E117)=D$92,F117,D$92-SUM(E$99:E117))</f>
        <v>188767</v>
      </c>
      <c r="E118" s="164">
        <f t="shared" si="14"/>
        <v>7695</v>
      </c>
      <c r="F118" s="163">
        <f t="shared" si="15"/>
        <v>181072</v>
      </c>
      <c r="G118" s="163">
        <f t="shared" si="16"/>
        <v>184919.5</v>
      </c>
      <c r="H118" s="333">
        <f t="shared" si="17"/>
        <v>26692.80964985026</v>
      </c>
      <c r="I118" s="344">
        <f t="shared" si="18"/>
        <v>26692.80964985026</v>
      </c>
      <c r="J118" s="162">
        <f t="shared" si="9"/>
        <v>0</v>
      </c>
      <c r="K118" s="162"/>
      <c r="L118" s="335"/>
      <c r="M118" s="162">
        <f t="shared" si="10"/>
        <v>0</v>
      </c>
      <c r="N118" s="335"/>
      <c r="O118" s="162">
        <f t="shared" si="11"/>
        <v>0</v>
      </c>
      <c r="P118" s="162">
        <f t="shared" si="12"/>
        <v>0</v>
      </c>
    </row>
    <row r="119" spans="2:16">
      <c r="B119" s="9" t="str">
        <f t="shared" si="13"/>
        <v/>
      </c>
      <c r="C119" s="157">
        <f>IF(D93="","-",+C118+1)</f>
        <v>2037</v>
      </c>
      <c r="D119" s="158">
        <f>IF(F118+SUM(E$99:E118)=D$92,F118,D$92-SUM(E$99:E118))</f>
        <v>181072</v>
      </c>
      <c r="E119" s="164">
        <f t="shared" si="14"/>
        <v>7695</v>
      </c>
      <c r="F119" s="163">
        <f t="shared" si="15"/>
        <v>173377</v>
      </c>
      <c r="G119" s="163">
        <f t="shared" si="16"/>
        <v>177224.5</v>
      </c>
      <c r="H119" s="333">
        <f t="shared" si="17"/>
        <v>25902.259463117127</v>
      </c>
      <c r="I119" s="344">
        <f t="shared" si="18"/>
        <v>25902.259463117127</v>
      </c>
      <c r="J119" s="162">
        <f t="shared" si="9"/>
        <v>0</v>
      </c>
      <c r="K119" s="162"/>
      <c r="L119" s="335"/>
      <c r="M119" s="162">
        <f t="shared" si="10"/>
        <v>0</v>
      </c>
      <c r="N119" s="335"/>
      <c r="O119" s="162">
        <f t="shared" si="11"/>
        <v>0</v>
      </c>
      <c r="P119" s="162">
        <f t="shared" si="12"/>
        <v>0</v>
      </c>
    </row>
    <row r="120" spans="2:16">
      <c r="B120" s="9" t="str">
        <f t="shared" si="13"/>
        <v/>
      </c>
      <c r="C120" s="157">
        <f>IF(D93="","-",+C119+1)</f>
        <v>2038</v>
      </c>
      <c r="D120" s="158">
        <f>IF(F119+SUM(E$99:E119)=D$92,F119,D$92-SUM(E$99:E119))</f>
        <v>173377</v>
      </c>
      <c r="E120" s="164">
        <f t="shared" si="14"/>
        <v>7695</v>
      </c>
      <c r="F120" s="163">
        <f t="shared" si="15"/>
        <v>165682</v>
      </c>
      <c r="G120" s="163">
        <f t="shared" si="16"/>
        <v>169529.5</v>
      </c>
      <c r="H120" s="333">
        <f t="shared" si="17"/>
        <v>25111.70927638399</v>
      </c>
      <c r="I120" s="344">
        <f t="shared" si="18"/>
        <v>25111.70927638399</v>
      </c>
      <c r="J120" s="162">
        <f t="shared" si="9"/>
        <v>0</v>
      </c>
      <c r="K120" s="162"/>
      <c r="L120" s="335"/>
      <c r="M120" s="162">
        <f t="shared" si="10"/>
        <v>0</v>
      </c>
      <c r="N120" s="335"/>
      <c r="O120" s="162">
        <f t="shared" si="11"/>
        <v>0</v>
      </c>
      <c r="P120" s="162">
        <f t="shared" si="12"/>
        <v>0</v>
      </c>
    </row>
    <row r="121" spans="2:16">
      <c r="B121" s="9" t="str">
        <f t="shared" si="13"/>
        <v/>
      </c>
      <c r="C121" s="157">
        <f>IF(D93="","-",+C120+1)</f>
        <v>2039</v>
      </c>
      <c r="D121" s="158">
        <f>IF(F120+SUM(E$99:E120)=D$92,F120,D$92-SUM(E$99:E120))</f>
        <v>165682</v>
      </c>
      <c r="E121" s="164">
        <f t="shared" si="14"/>
        <v>7695</v>
      </c>
      <c r="F121" s="163">
        <f t="shared" si="15"/>
        <v>157987</v>
      </c>
      <c r="G121" s="163">
        <f t="shared" si="16"/>
        <v>161834.5</v>
      </c>
      <c r="H121" s="333">
        <f t="shared" si="17"/>
        <v>24321.159089650857</v>
      </c>
      <c r="I121" s="344">
        <f t="shared" si="18"/>
        <v>24321.159089650857</v>
      </c>
      <c r="J121" s="162">
        <f t="shared" si="9"/>
        <v>0</v>
      </c>
      <c r="K121" s="162"/>
      <c r="L121" s="335"/>
      <c r="M121" s="162">
        <f t="shared" si="10"/>
        <v>0</v>
      </c>
      <c r="N121" s="335"/>
      <c r="O121" s="162">
        <f t="shared" si="11"/>
        <v>0</v>
      </c>
      <c r="P121" s="162">
        <f t="shared" si="12"/>
        <v>0</v>
      </c>
    </row>
    <row r="122" spans="2:16">
      <c r="B122" s="9" t="str">
        <f t="shared" si="13"/>
        <v/>
      </c>
      <c r="C122" s="157">
        <f>IF(D93="","-",+C121+1)</f>
        <v>2040</v>
      </c>
      <c r="D122" s="158">
        <f>IF(F121+SUM(E$99:E121)=D$92,F121,D$92-SUM(E$99:E121))</f>
        <v>157987</v>
      </c>
      <c r="E122" s="164">
        <f t="shared" si="14"/>
        <v>7695</v>
      </c>
      <c r="F122" s="163">
        <f t="shared" si="15"/>
        <v>150292</v>
      </c>
      <c r="G122" s="163">
        <f t="shared" si="16"/>
        <v>154139.5</v>
      </c>
      <c r="H122" s="333">
        <f t="shared" si="17"/>
        <v>23530.608902917724</v>
      </c>
      <c r="I122" s="344">
        <f t="shared" si="18"/>
        <v>23530.608902917724</v>
      </c>
      <c r="J122" s="162">
        <f t="shared" si="9"/>
        <v>0</v>
      </c>
      <c r="K122" s="162"/>
      <c r="L122" s="335"/>
      <c r="M122" s="162">
        <f t="shared" si="10"/>
        <v>0</v>
      </c>
      <c r="N122" s="335"/>
      <c r="O122" s="162">
        <f t="shared" si="11"/>
        <v>0</v>
      </c>
      <c r="P122" s="162">
        <f t="shared" si="12"/>
        <v>0</v>
      </c>
    </row>
    <row r="123" spans="2:16">
      <c r="B123" s="9" t="str">
        <f t="shared" si="13"/>
        <v/>
      </c>
      <c r="C123" s="157">
        <f>IF(D93="","-",+C122+1)</f>
        <v>2041</v>
      </c>
      <c r="D123" s="158">
        <f>IF(F122+SUM(E$99:E122)=D$92,F122,D$92-SUM(E$99:E122))</f>
        <v>150292</v>
      </c>
      <c r="E123" s="164">
        <f t="shared" si="14"/>
        <v>7695</v>
      </c>
      <c r="F123" s="163">
        <f t="shared" si="15"/>
        <v>142597</v>
      </c>
      <c r="G123" s="163">
        <f t="shared" si="16"/>
        <v>146444.5</v>
      </c>
      <c r="H123" s="333">
        <f t="shared" si="17"/>
        <v>22740.058716184591</v>
      </c>
      <c r="I123" s="344">
        <f t="shared" si="18"/>
        <v>22740.058716184591</v>
      </c>
      <c r="J123" s="162">
        <f t="shared" si="9"/>
        <v>0</v>
      </c>
      <c r="K123" s="162"/>
      <c r="L123" s="335"/>
      <c r="M123" s="162">
        <f t="shared" si="10"/>
        <v>0</v>
      </c>
      <c r="N123" s="335"/>
      <c r="O123" s="162">
        <f t="shared" si="11"/>
        <v>0</v>
      </c>
      <c r="P123" s="162">
        <f t="shared" si="12"/>
        <v>0</v>
      </c>
    </row>
    <row r="124" spans="2:16">
      <c r="B124" s="9" t="str">
        <f t="shared" si="13"/>
        <v/>
      </c>
      <c r="C124" s="157">
        <f>IF(D93="","-",+C123+1)</f>
        <v>2042</v>
      </c>
      <c r="D124" s="158">
        <f>IF(F123+SUM(E$99:E123)=D$92,F123,D$92-SUM(E$99:E123))</f>
        <v>142597</v>
      </c>
      <c r="E124" s="164">
        <f t="shared" si="14"/>
        <v>7695</v>
      </c>
      <c r="F124" s="163">
        <f t="shared" si="15"/>
        <v>134902</v>
      </c>
      <c r="G124" s="163">
        <f t="shared" si="16"/>
        <v>138749.5</v>
      </c>
      <c r="H124" s="333">
        <f t="shared" si="17"/>
        <v>21949.508529451457</v>
      </c>
      <c r="I124" s="344">
        <f t="shared" si="18"/>
        <v>21949.508529451457</v>
      </c>
      <c r="J124" s="162">
        <f t="shared" si="9"/>
        <v>0</v>
      </c>
      <c r="K124" s="162"/>
      <c r="L124" s="335"/>
      <c r="M124" s="162">
        <f t="shared" si="10"/>
        <v>0</v>
      </c>
      <c r="N124" s="335"/>
      <c r="O124" s="162">
        <f t="shared" si="11"/>
        <v>0</v>
      </c>
      <c r="P124" s="162">
        <f t="shared" si="12"/>
        <v>0</v>
      </c>
    </row>
    <row r="125" spans="2:16">
      <c r="B125" s="9" t="str">
        <f t="shared" si="13"/>
        <v/>
      </c>
      <c r="C125" s="157">
        <f>IF(D93="","-",+C124+1)</f>
        <v>2043</v>
      </c>
      <c r="D125" s="158">
        <f>IF(F124+SUM(E$99:E124)=D$92,F124,D$92-SUM(E$99:E124))</f>
        <v>134902</v>
      </c>
      <c r="E125" s="164">
        <f t="shared" si="14"/>
        <v>7695</v>
      </c>
      <c r="F125" s="163">
        <f t="shared" si="15"/>
        <v>127207</v>
      </c>
      <c r="G125" s="163">
        <f t="shared" si="16"/>
        <v>131054.5</v>
      </c>
      <c r="H125" s="333">
        <f t="shared" si="17"/>
        <v>21158.958342718324</v>
      </c>
      <c r="I125" s="344">
        <f t="shared" si="18"/>
        <v>21158.958342718324</v>
      </c>
      <c r="J125" s="162">
        <f t="shared" si="9"/>
        <v>0</v>
      </c>
      <c r="K125" s="162"/>
      <c r="L125" s="335"/>
      <c r="M125" s="162">
        <f t="shared" si="10"/>
        <v>0</v>
      </c>
      <c r="N125" s="335"/>
      <c r="O125" s="162">
        <f t="shared" si="11"/>
        <v>0</v>
      </c>
      <c r="P125" s="162">
        <f t="shared" si="12"/>
        <v>0</v>
      </c>
    </row>
    <row r="126" spans="2:16">
      <c r="B126" s="9" t="str">
        <f t="shared" si="13"/>
        <v/>
      </c>
      <c r="C126" s="157">
        <f>IF(D93="","-",+C125+1)</f>
        <v>2044</v>
      </c>
      <c r="D126" s="158">
        <f>IF(F125+SUM(E$99:E125)=D$92,F125,D$92-SUM(E$99:E125))</f>
        <v>127207</v>
      </c>
      <c r="E126" s="164">
        <f t="shared" si="14"/>
        <v>7695</v>
      </c>
      <c r="F126" s="163">
        <f t="shared" si="15"/>
        <v>119512</v>
      </c>
      <c r="G126" s="163">
        <f t="shared" si="16"/>
        <v>123359.5</v>
      </c>
      <c r="H126" s="333">
        <f t="shared" si="17"/>
        <v>20368.408155985191</v>
      </c>
      <c r="I126" s="344">
        <f t="shared" si="18"/>
        <v>20368.408155985191</v>
      </c>
      <c r="J126" s="162">
        <f t="shared" si="9"/>
        <v>0</v>
      </c>
      <c r="K126" s="162"/>
      <c r="L126" s="335"/>
      <c r="M126" s="162">
        <f t="shared" si="10"/>
        <v>0</v>
      </c>
      <c r="N126" s="335"/>
      <c r="O126" s="162">
        <f t="shared" si="11"/>
        <v>0</v>
      </c>
      <c r="P126" s="162">
        <f t="shared" si="12"/>
        <v>0</v>
      </c>
    </row>
    <row r="127" spans="2:16">
      <c r="B127" s="9" t="str">
        <f t="shared" si="13"/>
        <v/>
      </c>
      <c r="C127" s="157">
        <f>IF(D93="","-",+C126+1)</f>
        <v>2045</v>
      </c>
      <c r="D127" s="158">
        <f>IF(F126+SUM(E$99:E126)=D$92,F126,D$92-SUM(E$99:E126))</f>
        <v>119512</v>
      </c>
      <c r="E127" s="164">
        <f t="shared" si="14"/>
        <v>7695</v>
      </c>
      <c r="F127" s="163">
        <f t="shared" si="15"/>
        <v>111817</v>
      </c>
      <c r="G127" s="163">
        <f t="shared" si="16"/>
        <v>115664.5</v>
      </c>
      <c r="H127" s="333">
        <f t="shared" si="17"/>
        <v>19577.857969252054</v>
      </c>
      <c r="I127" s="344">
        <f t="shared" si="18"/>
        <v>19577.857969252054</v>
      </c>
      <c r="J127" s="162">
        <f t="shared" si="9"/>
        <v>0</v>
      </c>
      <c r="K127" s="162"/>
      <c r="L127" s="335"/>
      <c r="M127" s="162">
        <f t="shared" si="10"/>
        <v>0</v>
      </c>
      <c r="N127" s="335"/>
      <c r="O127" s="162">
        <f t="shared" si="11"/>
        <v>0</v>
      </c>
      <c r="P127" s="162">
        <f t="shared" si="12"/>
        <v>0</v>
      </c>
    </row>
    <row r="128" spans="2:16">
      <c r="B128" s="9" t="str">
        <f t="shared" si="13"/>
        <v/>
      </c>
      <c r="C128" s="157">
        <f>IF(D93="","-",+C127+1)</f>
        <v>2046</v>
      </c>
      <c r="D128" s="158">
        <f>IF(F127+SUM(E$99:E127)=D$92,F127,D$92-SUM(E$99:E127))</f>
        <v>111817</v>
      </c>
      <c r="E128" s="164">
        <f t="shared" si="14"/>
        <v>7695</v>
      </c>
      <c r="F128" s="163">
        <f t="shared" si="15"/>
        <v>104122</v>
      </c>
      <c r="G128" s="163">
        <f t="shared" si="16"/>
        <v>107969.5</v>
      </c>
      <c r="H128" s="333">
        <f t="shared" si="17"/>
        <v>18787.307782518921</v>
      </c>
      <c r="I128" s="344">
        <f t="shared" si="18"/>
        <v>18787.307782518921</v>
      </c>
      <c r="J128" s="162">
        <f t="shared" si="9"/>
        <v>0</v>
      </c>
      <c r="K128" s="162"/>
      <c r="L128" s="335"/>
      <c r="M128" s="162">
        <f t="shared" si="10"/>
        <v>0</v>
      </c>
      <c r="N128" s="335"/>
      <c r="O128" s="162">
        <f t="shared" si="11"/>
        <v>0</v>
      </c>
      <c r="P128" s="162">
        <f t="shared" si="12"/>
        <v>0</v>
      </c>
    </row>
    <row r="129" spans="2:16">
      <c r="B129" s="9" t="str">
        <f t="shared" si="13"/>
        <v/>
      </c>
      <c r="C129" s="157">
        <f>IF(D93="","-",+C128+1)</f>
        <v>2047</v>
      </c>
      <c r="D129" s="158">
        <f>IF(F128+SUM(E$99:E128)=D$92,F128,D$92-SUM(E$99:E128))</f>
        <v>104122</v>
      </c>
      <c r="E129" s="164">
        <f t="shared" si="14"/>
        <v>7695</v>
      </c>
      <c r="F129" s="163">
        <f t="shared" si="15"/>
        <v>96427</v>
      </c>
      <c r="G129" s="163">
        <f t="shared" si="16"/>
        <v>100274.5</v>
      </c>
      <c r="H129" s="333">
        <f t="shared" si="17"/>
        <v>17996.757595785784</v>
      </c>
      <c r="I129" s="344">
        <f t="shared" si="18"/>
        <v>17996.757595785784</v>
      </c>
      <c r="J129" s="162">
        <f t="shared" si="9"/>
        <v>0</v>
      </c>
      <c r="K129" s="162"/>
      <c r="L129" s="335"/>
      <c r="M129" s="162">
        <f t="shared" si="10"/>
        <v>0</v>
      </c>
      <c r="N129" s="335"/>
      <c r="O129" s="162">
        <f t="shared" si="11"/>
        <v>0</v>
      </c>
      <c r="P129" s="162">
        <f t="shared" si="12"/>
        <v>0</v>
      </c>
    </row>
    <row r="130" spans="2:16">
      <c r="B130" s="9" t="str">
        <f t="shared" si="13"/>
        <v/>
      </c>
      <c r="C130" s="157">
        <f>IF(D93="","-",+C129+1)</f>
        <v>2048</v>
      </c>
      <c r="D130" s="158">
        <f>IF(F129+SUM(E$99:E129)=D$92,F129,D$92-SUM(E$99:E129))</f>
        <v>96427</v>
      </c>
      <c r="E130" s="164">
        <f t="shared" si="14"/>
        <v>7695</v>
      </c>
      <c r="F130" s="163">
        <f t="shared" si="15"/>
        <v>88732</v>
      </c>
      <c r="G130" s="163">
        <f t="shared" si="16"/>
        <v>92579.5</v>
      </c>
      <c r="H130" s="333">
        <f t="shared" si="17"/>
        <v>17206.207409052651</v>
      </c>
      <c r="I130" s="344">
        <f t="shared" si="18"/>
        <v>17206.207409052651</v>
      </c>
      <c r="J130" s="162">
        <f t="shared" si="9"/>
        <v>0</v>
      </c>
      <c r="K130" s="162"/>
      <c r="L130" s="335"/>
      <c r="M130" s="162">
        <f t="shared" si="10"/>
        <v>0</v>
      </c>
      <c r="N130" s="335"/>
      <c r="O130" s="162">
        <f t="shared" si="11"/>
        <v>0</v>
      </c>
      <c r="P130" s="162">
        <f t="shared" si="12"/>
        <v>0</v>
      </c>
    </row>
    <row r="131" spans="2:16">
      <c r="B131" s="9" t="str">
        <f t="shared" si="13"/>
        <v/>
      </c>
      <c r="C131" s="157">
        <f>IF(D93="","-",+C130+1)</f>
        <v>2049</v>
      </c>
      <c r="D131" s="158">
        <f>IF(F130+SUM(E$99:E130)=D$92,F130,D$92-SUM(E$99:E130))</f>
        <v>88732</v>
      </c>
      <c r="E131" s="164">
        <f t="shared" si="14"/>
        <v>7695</v>
      </c>
      <c r="F131" s="163">
        <f t="shared" si="15"/>
        <v>81037</v>
      </c>
      <c r="G131" s="163">
        <f t="shared" si="16"/>
        <v>84884.5</v>
      </c>
      <c r="H131" s="333">
        <f t="shared" si="17"/>
        <v>16415.657222319518</v>
      </c>
      <c r="I131" s="344">
        <f t="shared" si="18"/>
        <v>16415.657222319518</v>
      </c>
      <c r="J131" s="162">
        <f t="shared" ref="J131:J154" si="19">+I541-H541</f>
        <v>0</v>
      </c>
      <c r="K131" s="162"/>
      <c r="L131" s="335"/>
      <c r="M131" s="162">
        <f t="shared" ref="M131:M154" si="20">IF(L541&lt;&gt;0,+H541-L541,0)</f>
        <v>0</v>
      </c>
      <c r="N131" s="335"/>
      <c r="O131" s="162">
        <f t="shared" ref="O131:O154" si="21">IF(N541&lt;&gt;0,+I541-N541,0)</f>
        <v>0</v>
      </c>
      <c r="P131" s="162">
        <f t="shared" ref="P131:P154" si="22">+O541-M541</f>
        <v>0</v>
      </c>
    </row>
    <row r="132" spans="2:16">
      <c r="B132" s="9" t="str">
        <f t="shared" si="13"/>
        <v/>
      </c>
      <c r="C132" s="157">
        <f>IF(D93="","-",+C131+1)</f>
        <v>2050</v>
      </c>
      <c r="D132" s="158">
        <f>IF(F131+SUM(E$99:E131)=D$92,F131,D$92-SUM(E$99:E131))</f>
        <v>81037</v>
      </c>
      <c r="E132" s="164">
        <f t="shared" si="14"/>
        <v>7695</v>
      </c>
      <c r="F132" s="163">
        <f t="shared" si="15"/>
        <v>73342</v>
      </c>
      <c r="G132" s="163">
        <f t="shared" si="16"/>
        <v>77189.5</v>
      </c>
      <c r="H132" s="333">
        <f t="shared" si="17"/>
        <v>15625.107035586385</v>
      </c>
      <c r="I132" s="344">
        <f t="shared" si="18"/>
        <v>15625.107035586385</v>
      </c>
      <c r="J132" s="162">
        <f t="shared" si="19"/>
        <v>0</v>
      </c>
      <c r="K132" s="162"/>
      <c r="L132" s="335"/>
      <c r="M132" s="162">
        <f t="shared" si="20"/>
        <v>0</v>
      </c>
      <c r="N132" s="335"/>
      <c r="O132" s="162">
        <f t="shared" si="21"/>
        <v>0</v>
      </c>
      <c r="P132" s="162">
        <f t="shared" si="22"/>
        <v>0</v>
      </c>
    </row>
    <row r="133" spans="2:16">
      <c r="B133" s="9" t="str">
        <f t="shared" si="13"/>
        <v/>
      </c>
      <c r="C133" s="157">
        <f>IF(D93="","-",+C132+1)</f>
        <v>2051</v>
      </c>
      <c r="D133" s="158">
        <f>IF(F132+SUM(E$99:E132)=D$92,F132,D$92-SUM(E$99:E132))</f>
        <v>73342</v>
      </c>
      <c r="E133" s="164">
        <f t="shared" si="14"/>
        <v>7695</v>
      </c>
      <c r="F133" s="163">
        <f t="shared" si="15"/>
        <v>65647</v>
      </c>
      <c r="G133" s="163">
        <f t="shared" si="16"/>
        <v>69494.5</v>
      </c>
      <c r="H133" s="333">
        <f t="shared" si="17"/>
        <v>14834.556848853252</v>
      </c>
      <c r="I133" s="344">
        <f t="shared" si="18"/>
        <v>14834.556848853252</v>
      </c>
      <c r="J133" s="162">
        <f t="shared" si="19"/>
        <v>0</v>
      </c>
      <c r="K133" s="162"/>
      <c r="L133" s="335"/>
      <c r="M133" s="162">
        <f t="shared" si="20"/>
        <v>0</v>
      </c>
      <c r="N133" s="335"/>
      <c r="O133" s="162">
        <f t="shared" si="21"/>
        <v>0</v>
      </c>
      <c r="P133" s="162">
        <f t="shared" si="22"/>
        <v>0</v>
      </c>
    </row>
    <row r="134" spans="2:16">
      <c r="B134" s="9" t="str">
        <f t="shared" si="13"/>
        <v/>
      </c>
      <c r="C134" s="157">
        <f>IF(D93="","-",+C133+1)</f>
        <v>2052</v>
      </c>
      <c r="D134" s="158">
        <f>IF(F133+SUM(E$99:E133)=D$92,F133,D$92-SUM(E$99:E133))</f>
        <v>65647</v>
      </c>
      <c r="E134" s="164">
        <f t="shared" si="14"/>
        <v>7695</v>
      </c>
      <c r="F134" s="163">
        <f t="shared" si="15"/>
        <v>57952</v>
      </c>
      <c r="G134" s="163">
        <f t="shared" si="16"/>
        <v>61799.5</v>
      </c>
      <c r="H134" s="333">
        <f t="shared" si="17"/>
        <v>14044.006662120119</v>
      </c>
      <c r="I134" s="344">
        <f t="shared" si="18"/>
        <v>14044.006662120119</v>
      </c>
      <c r="J134" s="162">
        <f t="shared" si="19"/>
        <v>0</v>
      </c>
      <c r="K134" s="162"/>
      <c r="L134" s="335"/>
      <c r="M134" s="162">
        <f t="shared" si="20"/>
        <v>0</v>
      </c>
      <c r="N134" s="335"/>
      <c r="O134" s="162">
        <f t="shared" si="21"/>
        <v>0</v>
      </c>
      <c r="P134" s="162">
        <f t="shared" si="22"/>
        <v>0</v>
      </c>
    </row>
    <row r="135" spans="2:16">
      <c r="B135" s="9" t="str">
        <f t="shared" si="13"/>
        <v/>
      </c>
      <c r="C135" s="157">
        <f>IF(D93="","-",+C134+1)</f>
        <v>2053</v>
      </c>
      <c r="D135" s="158">
        <f>IF(F134+SUM(E$99:E134)=D$92,F134,D$92-SUM(E$99:E134))</f>
        <v>57952</v>
      </c>
      <c r="E135" s="164">
        <f t="shared" si="14"/>
        <v>7695</v>
      </c>
      <c r="F135" s="163">
        <f t="shared" si="15"/>
        <v>50257</v>
      </c>
      <c r="G135" s="163">
        <f t="shared" si="16"/>
        <v>54104.5</v>
      </c>
      <c r="H135" s="333">
        <f t="shared" si="17"/>
        <v>13253.456475386984</v>
      </c>
      <c r="I135" s="344">
        <f t="shared" si="18"/>
        <v>13253.456475386984</v>
      </c>
      <c r="J135" s="162">
        <f t="shared" si="19"/>
        <v>0</v>
      </c>
      <c r="K135" s="162"/>
      <c r="L135" s="335"/>
      <c r="M135" s="162">
        <f t="shared" si="20"/>
        <v>0</v>
      </c>
      <c r="N135" s="335"/>
      <c r="O135" s="162">
        <f t="shared" si="21"/>
        <v>0</v>
      </c>
      <c r="P135" s="162">
        <f t="shared" si="22"/>
        <v>0</v>
      </c>
    </row>
    <row r="136" spans="2:16">
      <c r="B136" s="9" t="str">
        <f t="shared" si="13"/>
        <v/>
      </c>
      <c r="C136" s="157">
        <f>IF(D93="","-",+C135+1)</f>
        <v>2054</v>
      </c>
      <c r="D136" s="158">
        <f>IF(F135+SUM(E$99:E135)=D$92,F135,D$92-SUM(E$99:E135))</f>
        <v>50257</v>
      </c>
      <c r="E136" s="164">
        <f t="shared" si="14"/>
        <v>7695</v>
      </c>
      <c r="F136" s="163">
        <f t="shared" si="15"/>
        <v>42562</v>
      </c>
      <c r="G136" s="163">
        <f t="shared" si="16"/>
        <v>46409.5</v>
      </c>
      <c r="H136" s="333">
        <f t="shared" si="17"/>
        <v>12462.906288653849</v>
      </c>
      <c r="I136" s="344">
        <f t="shared" si="18"/>
        <v>12462.906288653849</v>
      </c>
      <c r="J136" s="162">
        <f t="shared" si="19"/>
        <v>0</v>
      </c>
      <c r="K136" s="162"/>
      <c r="L136" s="335"/>
      <c r="M136" s="162">
        <f t="shared" si="20"/>
        <v>0</v>
      </c>
      <c r="N136" s="335"/>
      <c r="O136" s="162">
        <f t="shared" si="21"/>
        <v>0</v>
      </c>
      <c r="P136" s="162">
        <f t="shared" si="22"/>
        <v>0</v>
      </c>
    </row>
    <row r="137" spans="2:16">
      <c r="B137" s="9" t="str">
        <f t="shared" si="13"/>
        <v/>
      </c>
      <c r="C137" s="157">
        <f>IF(D93="","-",+C136+1)</f>
        <v>2055</v>
      </c>
      <c r="D137" s="158">
        <f>IF(F136+SUM(E$99:E136)=D$92,F136,D$92-SUM(E$99:E136))</f>
        <v>42562</v>
      </c>
      <c r="E137" s="164">
        <f t="shared" si="14"/>
        <v>7695</v>
      </c>
      <c r="F137" s="163">
        <f t="shared" si="15"/>
        <v>34867</v>
      </c>
      <c r="G137" s="163">
        <f t="shared" si="16"/>
        <v>38714.5</v>
      </c>
      <c r="H137" s="333">
        <f t="shared" si="17"/>
        <v>11672.356101920715</v>
      </c>
      <c r="I137" s="344">
        <f t="shared" si="18"/>
        <v>11672.356101920715</v>
      </c>
      <c r="J137" s="162">
        <f t="shared" si="19"/>
        <v>0</v>
      </c>
      <c r="K137" s="162"/>
      <c r="L137" s="335"/>
      <c r="M137" s="162">
        <f t="shared" si="20"/>
        <v>0</v>
      </c>
      <c r="N137" s="335"/>
      <c r="O137" s="162">
        <f t="shared" si="21"/>
        <v>0</v>
      </c>
      <c r="P137" s="162">
        <f t="shared" si="22"/>
        <v>0</v>
      </c>
    </row>
    <row r="138" spans="2:16">
      <c r="B138" s="9" t="str">
        <f t="shared" si="13"/>
        <v/>
      </c>
      <c r="C138" s="157">
        <f>IF(D93="","-",+C137+1)</f>
        <v>2056</v>
      </c>
      <c r="D138" s="158">
        <f>IF(F137+SUM(E$99:E137)=D$92,F137,D$92-SUM(E$99:E137))</f>
        <v>34867</v>
      </c>
      <c r="E138" s="164">
        <f t="shared" si="14"/>
        <v>7695</v>
      </c>
      <c r="F138" s="163">
        <f t="shared" si="15"/>
        <v>27172</v>
      </c>
      <c r="G138" s="163">
        <f t="shared" si="16"/>
        <v>31019.5</v>
      </c>
      <c r="H138" s="333">
        <f t="shared" si="17"/>
        <v>10881.805915187582</v>
      </c>
      <c r="I138" s="344">
        <f t="shared" si="18"/>
        <v>10881.805915187582</v>
      </c>
      <c r="J138" s="162">
        <f t="shared" si="19"/>
        <v>0</v>
      </c>
      <c r="K138" s="162"/>
      <c r="L138" s="335"/>
      <c r="M138" s="162">
        <f t="shared" si="20"/>
        <v>0</v>
      </c>
      <c r="N138" s="335"/>
      <c r="O138" s="162">
        <f t="shared" si="21"/>
        <v>0</v>
      </c>
      <c r="P138" s="162">
        <f t="shared" si="22"/>
        <v>0</v>
      </c>
    </row>
    <row r="139" spans="2:16">
      <c r="B139" s="9" t="str">
        <f t="shared" si="13"/>
        <v/>
      </c>
      <c r="C139" s="157">
        <f>IF(D93="","-",+C138+1)</f>
        <v>2057</v>
      </c>
      <c r="D139" s="158">
        <f>IF(F138+SUM(E$99:E138)=D$92,F138,D$92-SUM(E$99:E138))</f>
        <v>27172</v>
      </c>
      <c r="E139" s="164">
        <f t="shared" si="14"/>
        <v>7695</v>
      </c>
      <c r="F139" s="163">
        <f t="shared" si="15"/>
        <v>19477</v>
      </c>
      <c r="G139" s="163">
        <f t="shared" si="16"/>
        <v>23324.5</v>
      </c>
      <c r="H139" s="333">
        <f t="shared" si="17"/>
        <v>10091.255728454449</v>
      </c>
      <c r="I139" s="344">
        <f t="shared" si="18"/>
        <v>10091.255728454449</v>
      </c>
      <c r="J139" s="162">
        <f t="shared" si="19"/>
        <v>0</v>
      </c>
      <c r="K139" s="162"/>
      <c r="L139" s="335"/>
      <c r="M139" s="162">
        <f t="shared" si="20"/>
        <v>0</v>
      </c>
      <c r="N139" s="335"/>
      <c r="O139" s="162">
        <f t="shared" si="21"/>
        <v>0</v>
      </c>
      <c r="P139" s="162">
        <f t="shared" si="22"/>
        <v>0</v>
      </c>
    </row>
    <row r="140" spans="2:16">
      <c r="B140" s="9" t="str">
        <f t="shared" si="13"/>
        <v/>
      </c>
      <c r="C140" s="157">
        <f>IF(D93="","-",+C139+1)</f>
        <v>2058</v>
      </c>
      <c r="D140" s="158">
        <f>IF(F139+SUM(E$99:E139)=D$92,F139,D$92-SUM(E$99:E139))</f>
        <v>19477</v>
      </c>
      <c r="E140" s="164">
        <f t="shared" si="14"/>
        <v>7695</v>
      </c>
      <c r="F140" s="163">
        <f t="shared" si="15"/>
        <v>11782</v>
      </c>
      <c r="G140" s="163">
        <f t="shared" si="16"/>
        <v>15629.5</v>
      </c>
      <c r="H140" s="333">
        <f t="shared" si="17"/>
        <v>9300.7055417213141</v>
      </c>
      <c r="I140" s="344">
        <f t="shared" si="18"/>
        <v>9300.7055417213141</v>
      </c>
      <c r="J140" s="162">
        <f t="shared" si="19"/>
        <v>0</v>
      </c>
      <c r="K140" s="162"/>
      <c r="L140" s="335"/>
      <c r="M140" s="162">
        <f t="shared" si="20"/>
        <v>0</v>
      </c>
      <c r="N140" s="335"/>
      <c r="O140" s="162">
        <f t="shared" si="21"/>
        <v>0</v>
      </c>
      <c r="P140" s="162">
        <f t="shared" si="22"/>
        <v>0</v>
      </c>
    </row>
    <row r="141" spans="2:16">
      <c r="B141" s="9" t="str">
        <f t="shared" si="13"/>
        <v/>
      </c>
      <c r="C141" s="157">
        <f>IF(D93="","-",+C140+1)</f>
        <v>2059</v>
      </c>
      <c r="D141" s="158">
        <f>IF(F140+SUM(E$99:E140)=D$92,F140,D$92-SUM(E$99:E140))</f>
        <v>11782</v>
      </c>
      <c r="E141" s="164">
        <f t="shared" si="14"/>
        <v>7695</v>
      </c>
      <c r="F141" s="163">
        <f t="shared" si="15"/>
        <v>4087</v>
      </c>
      <c r="G141" s="163">
        <f t="shared" si="16"/>
        <v>7934.5</v>
      </c>
      <c r="H141" s="333">
        <f t="shared" si="17"/>
        <v>8510.155354988181</v>
      </c>
      <c r="I141" s="344">
        <f t="shared" si="18"/>
        <v>8510.155354988181</v>
      </c>
      <c r="J141" s="162">
        <f t="shared" si="19"/>
        <v>0</v>
      </c>
      <c r="K141" s="162"/>
      <c r="L141" s="335"/>
      <c r="M141" s="162">
        <f t="shared" si="20"/>
        <v>0</v>
      </c>
      <c r="N141" s="335"/>
      <c r="O141" s="162">
        <f t="shared" si="21"/>
        <v>0</v>
      </c>
      <c r="P141" s="162">
        <f t="shared" si="22"/>
        <v>0</v>
      </c>
    </row>
    <row r="142" spans="2:16">
      <c r="B142" s="9" t="str">
        <f t="shared" si="13"/>
        <v/>
      </c>
      <c r="C142" s="157">
        <f>IF(D93="","-",+C141+1)</f>
        <v>2060</v>
      </c>
      <c r="D142" s="158">
        <f>IF(F141+SUM(E$99:E141)=D$92,F141,D$92-SUM(E$99:E141))</f>
        <v>4087</v>
      </c>
      <c r="E142" s="164">
        <f t="shared" si="14"/>
        <v>4087</v>
      </c>
      <c r="F142" s="163">
        <f t="shared" si="15"/>
        <v>0</v>
      </c>
      <c r="G142" s="163">
        <f t="shared" si="16"/>
        <v>2043.5</v>
      </c>
      <c r="H142" s="333">
        <f t="shared" si="17"/>
        <v>4296.9401308108072</v>
      </c>
      <c r="I142" s="344">
        <f t="shared" si="18"/>
        <v>4296.9401308108072</v>
      </c>
      <c r="J142" s="162">
        <f t="shared" si="19"/>
        <v>0</v>
      </c>
      <c r="K142" s="162"/>
      <c r="L142" s="335"/>
      <c r="M142" s="162">
        <f t="shared" si="20"/>
        <v>0</v>
      </c>
      <c r="N142" s="335"/>
      <c r="O142" s="162">
        <f t="shared" si="21"/>
        <v>0</v>
      </c>
      <c r="P142" s="162">
        <f t="shared" si="22"/>
        <v>0</v>
      </c>
    </row>
    <row r="143" spans="2:16">
      <c r="B143" s="9" t="str">
        <f t="shared" si="13"/>
        <v/>
      </c>
      <c r="C143" s="157">
        <f>IF(D93="","-",+C142+1)</f>
        <v>2061</v>
      </c>
      <c r="D143" s="158">
        <f>IF(F142+SUM(E$99:E142)=D$92,F142,D$92-SUM(E$99:E142))</f>
        <v>0</v>
      </c>
      <c r="E143" s="164">
        <f t="shared" si="14"/>
        <v>0</v>
      </c>
      <c r="F143" s="163">
        <f t="shared" si="15"/>
        <v>0</v>
      </c>
      <c r="G143" s="163">
        <f t="shared" si="16"/>
        <v>0</v>
      </c>
      <c r="H143" s="333">
        <f t="shared" si="17"/>
        <v>0</v>
      </c>
      <c r="I143" s="344">
        <f t="shared" si="18"/>
        <v>0</v>
      </c>
      <c r="J143" s="162">
        <f t="shared" si="19"/>
        <v>0</v>
      </c>
      <c r="K143" s="162"/>
      <c r="L143" s="335"/>
      <c r="M143" s="162">
        <f t="shared" si="20"/>
        <v>0</v>
      </c>
      <c r="N143" s="335"/>
      <c r="O143" s="162">
        <f t="shared" si="21"/>
        <v>0</v>
      </c>
      <c r="P143" s="162">
        <f t="shared" si="22"/>
        <v>0</v>
      </c>
    </row>
    <row r="144" spans="2:16">
      <c r="B144" s="9" t="str">
        <f t="shared" si="13"/>
        <v/>
      </c>
      <c r="C144" s="157">
        <f>IF(D93="","-",+C143+1)</f>
        <v>2062</v>
      </c>
      <c r="D144" s="158">
        <f>IF(F143+SUM(E$99:E143)=D$92,F143,D$92-SUM(E$99:E143))</f>
        <v>0</v>
      </c>
      <c r="E144" s="164">
        <f t="shared" si="14"/>
        <v>0</v>
      </c>
      <c r="F144" s="163">
        <f t="shared" si="15"/>
        <v>0</v>
      </c>
      <c r="G144" s="163">
        <f t="shared" si="16"/>
        <v>0</v>
      </c>
      <c r="H144" s="333">
        <f t="shared" si="17"/>
        <v>0</v>
      </c>
      <c r="I144" s="344">
        <f t="shared" si="18"/>
        <v>0</v>
      </c>
      <c r="J144" s="162">
        <f t="shared" si="19"/>
        <v>0</v>
      </c>
      <c r="K144" s="162"/>
      <c r="L144" s="335"/>
      <c r="M144" s="162">
        <f t="shared" si="20"/>
        <v>0</v>
      </c>
      <c r="N144" s="335"/>
      <c r="O144" s="162">
        <f t="shared" si="21"/>
        <v>0</v>
      </c>
      <c r="P144" s="162">
        <f t="shared" si="22"/>
        <v>0</v>
      </c>
    </row>
    <row r="145" spans="2:16">
      <c r="B145" s="9" t="str">
        <f t="shared" si="13"/>
        <v/>
      </c>
      <c r="C145" s="157">
        <f>IF(D93="","-",+C144+1)</f>
        <v>2063</v>
      </c>
      <c r="D145" s="158">
        <f>IF(F144+SUM(E$99:E144)=D$92,F144,D$92-SUM(E$99:E144))</f>
        <v>0</v>
      </c>
      <c r="E145" s="164">
        <f t="shared" si="14"/>
        <v>0</v>
      </c>
      <c r="F145" s="163">
        <f t="shared" si="15"/>
        <v>0</v>
      </c>
      <c r="G145" s="163">
        <f t="shared" si="16"/>
        <v>0</v>
      </c>
      <c r="H145" s="333">
        <f t="shared" si="17"/>
        <v>0</v>
      </c>
      <c r="I145" s="344">
        <f t="shared" si="18"/>
        <v>0</v>
      </c>
      <c r="J145" s="162">
        <f t="shared" si="19"/>
        <v>0</v>
      </c>
      <c r="K145" s="162"/>
      <c r="L145" s="335"/>
      <c r="M145" s="162">
        <f t="shared" si="20"/>
        <v>0</v>
      </c>
      <c r="N145" s="335"/>
      <c r="O145" s="162">
        <f t="shared" si="21"/>
        <v>0</v>
      </c>
      <c r="P145" s="162">
        <f t="shared" si="22"/>
        <v>0</v>
      </c>
    </row>
    <row r="146" spans="2:16">
      <c r="B146" s="9" t="str">
        <f t="shared" si="13"/>
        <v/>
      </c>
      <c r="C146" s="157">
        <f>IF(D93="","-",+C145+1)</f>
        <v>2064</v>
      </c>
      <c r="D146" s="158">
        <f>IF(F145+SUM(E$99:E145)=D$92,F145,D$92-SUM(E$99:E145))</f>
        <v>0</v>
      </c>
      <c r="E146" s="164">
        <f t="shared" si="14"/>
        <v>0</v>
      </c>
      <c r="F146" s="163">
        <f t="shared" si="15"/>
        <v>0</v>
      </c>
      <c r="G146" s="163">
        <f t="shared" si="16"/>
        <v>0</v>
      </c>
      <c r="H146" s="333">
        <f t="shared" si="17"/>
        <v>0</v>
      </c>
      <c r="I146" s="344">
        <f t="shared" si="18"/>
        <v>0</v>
      </c>
      <c r="J146" s="162">
        <f t="shared" si="19"/>
        <v>0</v>
      </c>
      <c r="K146" s="162"/>
      <c r="L146" s="335"/>
      <c r="M146" s="162">
        <f t="shared" si="20"/>
        <v>0</v>
      </c>
      <c r="N146" s="335"/>
      <c r="O146" s="162">
        <f t="shared" si="21"/>
        <v>0</v>
      </c>
      <c r="P146" s="162">
        <f t="shared" si="22"/>
        <v>0</v>
      </c>
    </row>
    <row r="147" spans="2:16">
      <c r="B147" s="9" t="str">
        <f t="shared" si="13"/>
        <v/>
      </c>
      <c r="C147" s="157">
        <f>IF(D93="","-",+C146+1)</f>
        <v>2065</v>
      </c>
      <c r="D147" s="158">
        <f>IF(F146+SUM(E$99:E146)=D$92,F146,D$92-SUM(E$99:E146))</f>
        <v>0</v>
      </c>
      <c r="E147" s="164">
        <f t="shared" si="14"/>
        <v>0</v>
      </c>
      <c r="F147" s="163">
        <f t="shared" si="15"/>
        <v>0</v>
      </c>
      <c r="G147" s="163">
        <f t="shared" si="16"/>
        <v>0</v>
      </c>
      <c r="H147" s="333">
        <f t="shared" si="17"/>
        <v>0</v>
      </c>
      <c r="I147" s="344">
        <f t="shared" si="18"/>
        <v>0</v>
      </c>
      <c r="J147" s="162">
        <f t="shared" si="19"/>
        <v>0</v>
      </c>
      <c r="K147" s="162"/>
      <c r="L147" s="335"/>
      <c r="M147" s="162">
        <f t="shared" si="20"/>
        <v>0</v>
      </c>
      <c r="N147" s="335"/>
      <c r="O147" s="162">
        <f t="shared" si="21"/>
        <v>0</v>
      </c>
      <c r="P147" s="162">
        <f t="shared" si="22"/>
        <v>0</v>
      </c>
    </row>
    <row r="148" spans="2:16">
      <c r="B148" s="9" t="str">
        <f t="shared" si="13"/>
        <v/>
      </c>
      <c r="C148" s="157">
        <f>IF(D93="","-",+C147+1)</f>
        <v>2066</v>
      </c>
      <c r="D148" s="158">
        <f>IF(F147+SUM(E$99:E147)=D$92,F147,D$92-SUM(E$99:E147))</f>
        <v>0</v>
      </c>
      <c r="E148" s="164">
        <f t="shared" si="14"/>
        <v>0</v>
      </c>
      <c r="F148" s="163">
        <f t="shared" si="15"/>
        <v>0</v>
      </c>
      <c r="G148" s="163">
        <f t="shared" si="16"/>
        <v>0</v>
      </c>
      <c r="H148" s="333">
        <f t="shared" si="17"/>
        <v>0</v>
      </c>
      <c r="I148" s="344">
        <f t="shared" si="18"/>
        <v>0</v>
      </c>
      <c r="J148" s="162">
        <f t="shared" si="19"/>
        <v>0</v>
      </c>
      <c r="K148" s="162"/>
      <c r="L148" s="335"/>
      <c r="M148" s="162">
        <f t="shared" si="20"/>
        <v>0</v>
      </c>
      <c r="N148" s="335"/>
      <c r="O148" s="162">
        <f t="shared" si="21"/>
        <v>0</v>
      </c>
      <c r="P148" s="162">
        <f t="shared" si="22"/>
        <v>0</v>
      </c>
    </row>
    <row r="149" spans="2:16">
      <c r="B149" s="9" t="str">
        <f t="shared" si="13"/>
        <v/>
      </c>
      <c r="C149" s="157">
        <f>IF(D93="","-",+C148+1)</f>
        <v>2067</v>
      </c>
      <c r="D149" s="158">
        <f>IF(F148+SUM(E$99:E148)=D$92,F148,D$92-SUM(E$99:E148))</f>
        <v>0</v>
      </c>
      <c r="E149" s="164">
        <f t="shared" si="14"/>
        <v>0</v>
      </c>
      <c r="F149" s="163">
        <f t="shared" si="15"/>
        <v>0</v>
      </c>
      <c r="G149" s="163">
        <f t="shared" si="16"/>
        <v>0</v>
      </c>
      <c r="H149" s="333">
        <f t="shared" si="17"/>
        <v>0</v>
      </c>
      <c r="I149" s="344">
        <f t="shared" si="18"/>
        <v>0</v>
      </c>
      <c r="J149" s="162">
        <f t="shared" si="19"/>
        <v>0</v>
      </c>
      <c r="K149" s="162"/>
      <c r="L149" s="335"/>
      <c r="M149" s="162">
        <f t="shared" si="20"/>
        <v>0</v>
      </c>
      <c r="N149" s="335"/>
      <c r="O149" s="162">
        <f t="shared" si="21"/>
        <v>0</v>
      </c>
      <c r="P149" s="162">
        <f t="shared" si="22"/>
        <v>0</v>
      </c>
    </row>
    <row r="150" spans="2:16">
      <c r="B150" s="9" t="str">
        <f t="shared" si="13"/>
        <v/>
      </c>
      <c r="C150" s="157">
        <f>IF(D93="","-",+C149+1)</f>
        <v>2068</v>
      </c>
      <c r="D150" s="158">
        <f>IF(F149+SUM(E$99:E149)=D$92,F149,D$92-SUM(E$99:E149))</f>
        <v>0</v>
      </c>
      <c r="E150" s="164">
        <f t="shared" si="14"/>
        <v>0</v>
      </c>
      <c r="F150" s="163">
        <f t="shared" si="15"/>
        <v>0</v>
      </c>
      <c r="G150" s="163">
        <f t="shared" si="16"/>
        <v>0</v>
      </c>
      <c r="H150" s="333">
        <f t="shared" si="17"/>
        <v>0</v>
      </c>
      <c r="I150" s="344">
        <f t="shared" si="18"/>
        <v>0</v>
      </c>
      <c r="J150" s="162">
        <f t="shared" si="19"/>
        <v>0</v>
      </c>
      <c r="K150" s="162"/>
      <c r="L150" s="335"/>
      <c r="M150" s="162">
        <f t="shared" si="20"/>
        <v>0</v>
      </c>
      <c r="N150" s="335"/>
      <c r="O150" s="162">
        <f t="shared" si="21"/>
        <v>0</v>
      </c>
      <c r="P150" s="162">
        <f t="shared" si="22"/>
        <v>0</v>
      </c>
    </row>
    <row r="151" spans="2:16">
      <c r="B151" s="9" t="str">
        <f t="shared" si="13"/>
        <v/>
      </c>
      <c r="C151" s="157">
        <f>IF(D93="","-",+C150+1)</f>
        <v>2069</v>
      </c>
      <c r="D151" s="158">
        <f>IF(F150+SUM(E$99:E150)=D$92,F150,D$92-SUM(E$99:E150))</f>
        <v>0</v>
      </c>
      <c r="E151" s="164">
        <f t="shared" si="14"/>
        <v>0</v>
      </c>
      <c r="F151" s="163">
        <f t="shared" si="15"/>
        <v>0</v>
      </c>
      <c r="G151" s="163">
        <f t="shared" si="16"/>
        <v>0</v>
      </c>
      <c r="H151" s="333">
        <f t="shared" si="17"/>
        <v>0</v>
      </c>
      <c r="I151" s="344">
        <f t="shared" si="18"/>
        <v>0</v>
      </c>
      <c r="J151" s="162">
        <f t="shared" si="19"/>
        <v>0</v>
      </c>
      <c r="K151" s="162"/>
      <c r="L151" s="335"/>
      <c r="M151" s="162">
        <f t="shared" si="20"/>
        <v>0</v>
      </c>
      <c r="N151" s="335"/>
      <c r="O151" s="162">
        <f t="shared" si="21"/>
        <v>0</v>
      </c>
      <c r="P151" s="162">
        <f t="shared" si="22"/>
        <v>0</v>
      </c>
    </row>
    <row r="152" spans="2:16">
      <c r="B152" s="9" t="str">
        <f t="shared" si="13"/>
        <v/>
      </c>
      <c r="C152" s="157">
        <f>IF(D93="","-",+C151+1)</f>
        <v>2070</v>
      </c>
      <c r="D152" s="158">
        <f>IF(F151+SUM(E$99:E151)=D$92,F151,D$92-SUM(E$99:E151))</f>
        <v>0</v>
      </c>
      <c r="E152" s="164">
        <f t="shared" si="14"/>
        <v>0</v>
      </c>
      <c r="F152" s="163">
        <f t="shared" si="15"/>
        <v>0</v>
      </c>
      <c r="G152" s="163">
        <f t="shared" si="16"/>
        <v>0</v>
      </c>
      <c r="H152" s="333">
        <f t="shared" si="17"/>
        <v>0</v>
      </c>
      <c r="I152" s="344">
        <f t="shared" si="18"/>
        <v>0</v>
      </c>
      <c r="J152" s="162">
        <f t="shared" si="19"/>
        <v>0</v>
      </c>
      <c r="K152" s="162"/>
      <c r="L152" s="335"/>
      <c r="M152" s="162">
        <f t="shared" si="20"/>
        <v>0</v>
      </c>
      <c r="N152" s="335"/>
      <c r="O152" s="162">
        <f t="shared" si="21"/>
        <v>0</v>
      </c>
      <c r="P152" s="162">
        <f t="shared" si="22"/>
        <v>0</v>
      </c>
    </row>
    <row r="153" spans="2:16">
      <c r="B153" s="9" t="str">
        <f t="shared" si="13"/>
        <v/>
      </c>
      <c r="C153" s="157">
        <f>IF(D93="","-",+C152+1)</f>
        <v>2071</v>
      </c>
      <c r="D153" s="158">
        <f>IF(F152+SUM(E$99:E152)=D$92,F152,D$92-SUM(E$99:E152))</f>
        <v>0</v>
      </c>
      <c r="E153" s="164">
        <f t="shared" si="14"/>
        <v>0</v>
      </c>
      <c r="F153" s="163">
        <f t="shared" si="15"/>
        <v>0</v>
      </c>
      <c r="G153" s="163">
        <f t="shared" si="16"/>
        <v>0</v>
      </c>
      <c r="H153" s="333">
        <f t="shared" si="17"/>
        <v>0</v>
      </c>
      <c r="I153" s="344">
        <f t="shared" si="18"/>
        <v>0</v>
      </c>
      <c r="J153" s="162">
        <f t="shared" si="19"/>
        <v>0</v>
      </c>
      <c r="K153" s="162"/>
      <c r="L153" s="335"/>
      <c r="M153" s="162">
        <f t="shared" si="20"/>
        <v>0</v>
      </c>
      <c r="N153" s="335"/>
      <c r="O153" s="162">
        <f t="shared" si="21"/>
        <v>0</v>
      </c>
      <c r="P153" s="162">
        <f t="shared" si="22"/>
        <v>0</v>
      </c>
    </row>
    <row r="154" spans="2:16" ht="13.5" thickBot="1">
      <c r="B154" s="9" t="str">
        <f t="shared" si="13"/>
        <v/>
      </c>
      <c r="C154" s="168">
        <f>IF(D93="","-",+C153+1)</f>
        <v>2072</v>
      </c>
      <c r="D154" s="219">
        <f>IF(F153+SUM(E$99:E153)=D$92,F153,D$92-SUM(E$99:E153))</f>
        <v>0</v>
      </c>
      <c r="E154" s="170">
        <f t="shared" si="14"/>
        <v>0</v>
      </c>
      <c r="F154" s="169">
        <f t="shared" si="15"/>
        <v>0</v>
      </c>
      <c r="G154" s="169">
        <f t="shared" si="16"/>
        <v>0</v>
      </c>
      <c r="H154" s="345">
        <f t="shared" si="17"/>
        <v>0</v>
      </c>
      <c r="I154" s="346">
        <f t="shared" si="18"/>
        <v>0</v>
      </c>
      <c r="J154" s="173">
        <f t="shared" si="19"/>
        <v>0</v>
      </c>
      <c r="K154" s="162"/>
      <c r="L154" s="336"/>
      <c r="M154" s="173">
        <f t="shared" si="20"/>
        <v>0</v>
      </c>
      <c r="N154" s="336"/>
      <c r="O154" s="173">
        <f t="shared" si="21"/>
        <v>0</v>
      </c>
      <c r="P154" s="173">
        <f t="shared" si="22"/>
        <v>0</v>
      </c>
    </row>
    <row r="155" spans="2:16">
      <c r="C155" s="158" t="s">
        <v>72</v>
      </c>
      <c r="D155" s="115"/>
      <c r="E155" s="115">
        <f>SUM(E99:E154)</f>
        <v>330872</v>
      </c>
      <c r="F155" s="115"/>
      <c r="G155" s="115"/>
      <c r="H155" s="115">
        <f>SUM(H99:H154)</f>
        <v>1066732.0415953987</v>
      </c>
      <c r="I155" s="115">
        <f>SUM(I99:I154)</f>
        <v>1066732.0415953987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conditionalFormatting sqref="C17:C72">
    <cfRule type="cellIs" dxfId="17" priority="1" stopIfTrue="1" operator="equal">
      <formula>$I$10</formula>
    </cfRule>
  </conditionalFormatting>
  <conditionalFormatting sqref="C99:C154">
    <cfRule type="cellIs" dxfId="16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/>
  <dimension ref="A1:P162"/>
  <sheetViews>
    <sheetView view="pageBreakPreview" topLeftCell="A76" zoomScale="78" zoomScaleNormal="100" zoomScaleSheetLayoutView="78" workbookViewId="0">
      <selection activeCell="D99" sqref="D99:I99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"&amp;RIGHT(MID(CELL("filename",$A$1),FIND("]",CELL("filename",$A$1))+1,256),2)&amp;" of "&amp;COUNT('P.001:P.xyz - blank'!$P$3)-1</f>
        <v>PSO Project 22 of 28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275</v>
      </c>
      <c r="L5" s="119"/>
      <c r="M5" s="120"/>
      <c r="N5" s="121">
        <f>VLOOKUP(I10,C17:I72,5)</f>
        <v>30970.52236185109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276</v>
      </c>
      <c r="L6" s="125"/>
      <c r="M6" s="4"/>
      <c r="N6" s="126">
        <f>VLOOKUP(I10,C17:I72,6)</f>
        <v>30970.52236185109</v>
      </c>
      <c r="O6" s="1"/>
      <c r="P6" s="1"/>
    </row>
    <row r="7" spans="1:16" ht="13.5" thickBot="1">
      <c r="C7" s="127" t="s">
        <v>41</v>
      </c>
      <c r="D7" s="227" t="s">
        <v>271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 t="str">
        <f>IF(D10&lt;100000,"DOES NOT MEET SPP $100,000 MINIMUM INVESTMENT FOR REGIONAL BPU SHARING.","")</f>
        <v/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43</v>
      </c>
      <c r="D9" s="229"/>
      <c r="E9" s="427" t="s">
        <v>295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244000</v>
      </c>
      <c r="E10" s="64" t="s">
        <v>46</v>
      </c>
      <c r="F10" s="137"/>
      <c r="G10" s="139"/>
      <c r="H10" s="139"/>
      <c r="I10" s="140">
        <f>+PSO.WS.F.BPU.ATRR.Projected!L19</f>
        <v>2020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2018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6</v>
      </c>
      <c r="E12" s="141" t="s">
        <v>51</v>
      </c>
      <c r="F12" s="139"/>
      <c r="G12" s="7"/>
      <c r="H12" s="7"/>
      <c r="I12" s="145">
        <f>PSO.WS.F.BPU.ATRR.Projected!$F$81</f>
        <v>0.10800477690995318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42</v>
      </c>
      <c r="E13" s="141" t="s">
        <v>54</v>
      </c>
      <c r="F13" s="139"/>
      <c r="G13" s="7"/>
      <c r="H13" s="7"/>
      <c r="I13" s="145">
        <f>IF(G5="",I12,PSO.WS.F.BPU.ATRR.Projected!$F$80)</f>
        <v>0.10800477690995318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5809.5238095238092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277</v>
      </c>
      <c r="H15" s="362" t="s">
        <v>278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2018</v>
      </c>
      <c r="D17" s="464">
        <v>0</v>
      </c>
      <c r="E17" s="467">
        <v>2711.1111111111113</v>
      </c>
      <c r="F17" s="465">
        <v>241288.88888888888</v>
      </c>
      <c r="G17" s="467">
        <v>19038.576480221469</v>
      </c>
      <c r="H17" s="466">
        <v>19038.576480221469</v>
      </c>
      <c r="I17" s="160">
        <f t="shared" ref="I17:I72" si="0">H17-G17</f>
        <v>0</v>
      </c>
      <c r="J17" s="160"/>
      <c r="K17" s="337">
        <f>+G17</f>
        <v>19038.576480221469</v>
      </c>
      <c r="L17" s="161">
        <f t="shared" ref="L17:L72" si="1">IF(K17&lt;&gt;0,+G17-K17,0)</f>
        <v>0</v>
      </c>
      <c r="M17" s="337">
        <f>+H17</f>
        <v>19038.576480221469</v>
      </c>
      <c r="N17" s="161">
        <f t="shared" ref="N17:N72" si="2">IF(M17&lt;&gt;0,+H17-M17,0)</f>
        <v>0</v>
      </c>
      <c r="O17" s="162">
        <f t="shared" ref="O17:O72" si="3">+N17-L17</f>
        <v>0</v>
      </c>
      <c r="P17" s="4"/>
    </row>
    <row r="18" spans="2:16">
      <c r="B18" s="9" t="str">
        <f>IF(D18=F17,"","IU")</f>
        <v/>
      </c>
      <c r="C18" s="157">
        <f>IF(D11="","-",+C17+1)</f>
        <v>2019</v>
      </c>
      <c r="D18" s="419">
        <v>241288.88888888888</v>
      </c>
      <c r="E18" s="420">
        <v>5422.2222222222226</v>
      </c>
      <c r="F18" s="419">
        <v>235866.66666666666</v>
      </c>
      <c r="G18" s="420">
        <v>37710.243626305615</v>
      </c>
      <c r="H18" s="424">
        <v>37710.243626305615</v>
      </c>
      <c r="I18" s="160">
        <f t="shared" si="0"/>
        <v>0</v>
      </c>
      <c r="J18" s="160"/>
      <c r="K18" s="338">
        <f>G18</f>
        <v>37710.243626305615</v>
      </c>
      <c r="L18" s="175">
        <f>IF(K18&lt;&gt;0,+G18-K18,0)</f>
        <v>0</v>
      </c>
      <c r="M18" s="338">
        <f>H18</f>
        <v>37710.243626305615</v>
      </c>
      <c r="N18" s="160">
        <f>IF(M18&lt;&gt;0,+H18-M18,0)</f>
        <v>0</v>
      </c>
      <c r="O18" s="162">
        <f>+N18-L18</f>
        <v>0</v>
      </c>
      <c r="P18" s="4"/>
    </row>
    <row r="19" spans="2:16">
      <c r="B19" s="9" t="str">
        <f>IF(D19=F18,"","IU")</f>
        <v/>
      </c>
      <c r="C19" s="157">
        <f>IF(D11="","-",+C18+1)</f>
        <v>2020</v>
      </c>
      <c r="D19" s="166">
        <f>IF(F18+SUM(E$17:E18)=D$10,F18,D$10-SUM(E$17:E18))</f>
        <v>235866.66666666666</v>
      </c>
      <c r="E19" s="164">
        <f t="shared" ref="E19:E72" si="4">IF(+I$14&lt;F18,I$14,D19)</f>
        <v>5809.5238095238092</v>
      </c>
      <c r="F19" s="163">
        <f t="shared" ref="F19:F72" si="5">+D19-E19</f>
        <v>230057.14285714284</v>
      </c>
      <c r="G19" s="165">
        <f t="shared" ref="G19:G72" si="6">(D19+F19)/2*I$12+E19</f>
        <v>30970.52236185109</v>
      </c>
      <c r="H19" s="147">
        <f t="shared" ref="H19:H72" si="7">+(D19+F19)/2*I$13+E19</f>
        <v>30970.52236185109</v>
      </c>
      <c r="I19" s="160">
        <f t="shared" si="0"/>
        <v>0</v>
      </c>
      <c r="J19" s="160"/>
      <c r="K19" s="335"/>
      <c r="L19" s="162">
        <f t="shared" si="1"/>
        <v>0</v>
      </c>
      <c r="M19" s="335"/>
      <c r="N19" s="162">
        <f t="shared" si="2"/>
        <v>0</v>
      </c>
      <c r="O19" s="162">
        <f t="shared" si="3"/>
        <v>0</v>
      </c>
      <c r="P19" s="4"/>
    </row>
    <row r="20" spans="2:16">
      <c r="B20" s="9" t="str">
        <f t="shared" ref="B20:B72" si="8">IF(D20=F19,"","IU")</f>
        <v/>
      </c>
      <c r="C20" s="157">
        <f>IF(D11="","-",+C19+1)</f>
        <v>2021</v>
      </c>
      <c r="D20" s="166">
        <f>IF(F19+SUM(E$17:E19)=D$10,F19,D$10-SUM(E$17:E19))</f>
        <v>230057.14285714284</v>
      </c>
      <c r="E20" s="164">
        <f t="shared" si="4"/>
        <v>5809.5238095238092</v>
      </c>
      <c r="F20" s="163">
        <f t="shared" si="5"/>
        <v>224247.61904761902</v>
      </c>
      <c r="G20" s="165">
        <f t="shared" si="6"/>
        <v>30343.066038850411</v>
      </c>
      <c r="H20" s="147">
        <f t="shared" si="7"/>
        <v>30343.066038850411</v>
      </c>
      <c r="I20" s="160">
        <f t="shared" si="0"/>
        <v>0</v>
      </c>
      <c r="J20" s="160"/>
      <c r="K20" s="335"/>
      <c r="L20" s="162">
        <f t="shared" si="1"/>
        <v>0</v>
      </c>
      <c r="M20" s="335"/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8"/>
        <v/>
      </c>
      <c r="C21" s="157">
        <f>IF(D11="","-",+C20+1)</f>
        <v>2022</v>
      </c>
      <c r="D21" s="166">
        <f>IF(F20+SUM(E$17:E20)=D$10,F20,D$10-SUM(E$17:E20))</f>
        <v>224247.61904761902</v>
      </c>
      <c r="E21" s="164">
        <f t="shared" si="4"/>
        <v>5809.5238095238092</v>
      </c>
      <c r="F21" s="163">
        <f t="shared" si="5"/>
        <v>218438.09523809521</v>
      </c>
      <c r="G21" s="165">
        <f t="shared" si="6"/>
        <v>29715.609715849729</v>
      </c>
      <c r="H21" s="147">
        <f t="shared" si="7"/>
        <v>29715.609715849729</v>
      </c>
      <c r="I21" s="160">
        <f t="shared" si="0"/>
        <v>0</v>
      </c>
      <c r="J21" s="160"/>
      <c r="K21" s="335"/>
      <c r="L21" s="162">
        <f t="shared" si="1"/>
        <v>0</v>
      </c>
      <c r="M21" s="335"/>
      <c r="N21" s="162">
        <f t="shared" si="2"/>
        <v>0</v>
      </c>
      <c r="O21" s="162">
        <f t="shared" si="3"/>
        <v>0</v>
      </c>
      <c r="P21" s="4"/>
    </row>
    <row r="22" spans="2:16">
      <c r="B22" s="9" t="str">
        <f t="shared" si="8"/>
        <v/>
      </c>
      <c r="C22" s="157">
        <f>IF(D11="","-",+C21+1)</f>
        <v>2023</v>
      </c>
      <c r="D22" s="166">
        <f>IF(F21+SUM(E$17:E21)=D$10,F21,D$10-SUM(E$17:E21))</f>
        <v>218438.09523809521</v>
      </c>
      <c r="E22" s="164">
        <f t="shared" si="4"/>
        <v>5809.5238095238092</v>
      </c>
      <c r="F22" s="163">
        <f t="shared" si="5"/>
        <v>212628.57142857139</v>
      </c>
      <c r="G22" s="165">
        <f t="shared" si="6"/>
        <v>29088.15339284905</v>
      </c>
      <c r="H22" s="147">
        <f t="shared" si="7"/>
        <v>29088.15339284905</v>
      </c>
      <c r="I22" s="160">
        <f t="shared" si="0"/>
        <v>0</v>
      </c>
      <c r="J22" s="160"/>
      <c r="K22" s="335"/>
      <c r="L22" s="162">
        <f t="shared" si="1"/>
        <v>0</v>
      </c>
      <c r="M22" s="335"/>
      <c r="N22" s="162">
        <f t="shared" si="2"/>
        <v>0</v>
      </c>
      <c r="O22" s="162">
        <f t="shared" si="3"/>
        <v>0</v>
      </c>
      <c r="P22" s="4"/>
    </row>
    <row r="23" spans="2:16">
      <c r="B23" s="9" t="str">
        <f t="shared" si="8"/>
        <v/>
      </c>
      <c r="C23" s="157">
        <f>IF(D11="","-",+C22+1)</f>
        <v>2024</v>
      </c>
      <c r="D23" s="166">
        <f>IF(F22+SUM(E$17:E22)=D$10,F22,D$10-SUM(E$17:E22))</f>
        <v>212628.57142857139</v>
      </c>
      <c r="E23" s="164">
        <f t="shared" si="4"/>
        <v>5809.5238095238092</v>
      </c>
      <c r="F23" s="163">
        <f t="shared" si="5"/>
        <v>206819.04761904757</v>
      </c>
      <c r="G23" s="165">
        <f t="shared" si="6"/>
        <v>28460.697069848364</v>
      </c>
      <c r="H23" s="147">
        <f t="shared" si="7"/>
        <v>28460.697069848364</v>
      </c>
      <c r="I23" s="160">
        <f t="shared" si="0"/>
        <v>0</v>
      </c>
      <c r="J23" s="160"/>
      <c r="K23" s="335"/>
      <c r="L23" s="162">
        <f t="shared" si="1"/>
        <v>0</v>
      </c>
      <c r="M23" s="335"/>
      <c r="N23" s="162">
        <f t="shared" si="2"/>
        <v>0</v>
      </c>
      <c r="O23" s="162">
        <f t="shared" si="3"/>
        <v>0</v>
      </c>
      <c r="P23" s="4"/>
    </row>
    <row r="24" spans="2:16">
      <c r="B24" s="9" t="str">
        <f t="shared" si="8"/>
        <v/>
      </c>
      <c r="C24" s="157">
        <f>IF(D11="","-",+C23+1)</f>
        <v>2025</v>
      </c>
      <c r="D24" s="166">
        <f>IF(F23+SUM(E$17:E23)=D$10,F23,D$10-SUM(E$17:E23))</f>
        <v>206819.04761904757</v>
      </c>
      <c r="E24" s="164">
        <f t="shared" si="4"/>
        <v>5809.5238095238092</v>
      </c>
      <c r="F24" s="163">
        <f t="shared" si="5"/>
        <v>201009.52380952376</v>
      </c>
      <c r="G24" s="165">
        <f t="shared" si="6"/>
        <v>27833.240746847685</v>
      </c>
      <c r="H24" s="147">
        <f t="shared" si="7"/>
        <v>27833.240746847685</v>
      </c>
      <c r="I24" s="160">
        <f t="shared" si="0"/>
        <v>0</v>
      </c>
      <c r="J24" s="160"/>
      <c r="K24" s="335"/>
      <c r="L24" s="162">
        <f t="shared" si="1"/>
        <v>0</v>
      </c>
      <c r="M24" s="335"/>
      <c r="N24" s="162">
        <f t="shared" si="2"/>
        <v>0</v>
      </c>
      <c r="O24" s="162">
        <f t="shared" si="3"/>
        <v>0</v>
      </c>
      <c r="P24" s="4"/>
    </row>
    <row r="25" spans="2:16">
      <c r="B25" s="9" t="str">
        <f t="shared" si="8"/>
        <v/>
      </c>
      <c r="C25" s="157">
        <f>IF(D11="","-",+C24+1)</f>
        <v>2026</v>
      </c>
      <c r="D25" s="166">
        <f>IF(F24+SUM(E$17:E24)=D$10,F24,D$10-SUM(E$17:E24))</f>
        <v>201009.52380952376</v>
      </c>
      <c r="E25" s="164">
        <f t="shared" si="4"/>
        <v>5809.5238095238092</v>
      </c>
      <c r="F25" s="163">
        <f t="shared" si="5"/>
        <v>195199.99999999994</v>
      </c>
      <c r="G25" s="165">
        <f t="shared" si="6"/>
        <v>27205.784423847002</v>
      </c>
      <c r="H25" s="147">
        <f t="shared" si="7"/>
        <v>27205.784423847002</v>
      </c>
      <c r="I25" s="160">
        <f t="shared" si="0"/>
        <v>0</v>
      </c>
      <c r="J25" s="160"/>
      <c r="K25" s="335"/>
      <c r="L25" s="162">
        <f t="shared" si="1"/>
        <v>0</v>
      </c>
      <c r="M25" s="335"/>
      <c r="N25" s="162">
        <f t="shared" si="2"/>
        <v>0</v>
      </c>
      <c r="O25" s="162">
        <f t="shared" si="3"/>
        <v>0</v>
      </c>
      <c r="P25" s="4"/>
    </row>
    <row r="26" spans="2:16">
      <c r="B26" s="9" t="str">
        <f t="shared" si="8"/>
        <v/>
      </c>
      <c r="C26" s="157">
        <f>IF(D11="","-",+C25+1)</f>
        <v>2027</v>
      </c>
      <c r="D26" s="166">
        <f>IF(F25+SUM(E$17:E25)=D$10,F25,D$10-SUM(E$17:E25))</f>
        <v>195199.99999999994</v>
      </c>
      <c r="E26" s="164">
        <f t="shared" si="4"/>
        <v>5809.5238095238092</v>
      </c>
      <c r="F26" s="163">
        <f t="shared" si="5"/>
        <v>189390.47619047613</v>
      </c>
      <c r="G26" s="165">
        <f t="shared" si="6"/>
        <v>26578.328100846324</v>
      </c>
      <c r="H26" s="147">
        <f t="shared" si="7"/>
        <v>26578.328100846324</v>
      </c>
      <c r="I26" s="160">
        <f t="shared" si="0"/>
        <v>0</v>
      </c>
      <c r="J26" s="160"/>
      <c r="K26" s="335"/>
      <c r="L26" s="162">
        <f t="shared" si="1"/>
        <v>0</v>
      </c>
      <c r="M26" s="335"/>
      <c r="N26" s="162">
        <f t="shared" si="2"/>
        <v>0</v>
      </c>
      <c r="O26" s="162">
        <f t="shared" si="3"/>
        <v>0</v>
      </c>
      <c r="P26" s="4"/>
    </row>
    <row r="27" spans="2:16">
      <c r="B27" s="9" t="str">
        <f t="shared" si="8"/>
        <v/>
      </c>
      <c r="C27" s="157">
        <f>IF(D11="","-",+C26+1)</f>
        <v>2028</v>
      </c>
      <c r="D27" s="166">
        <f>IF(F26+SUM(E$17:E26)=D$10,F26,D$10-SUM(E$17:E26))</f>
        <v>189390.47619047613</v>
      </c>
      <c r="E27" s="164">
        <f t="shared" si="4"/>
        <v>5809.5238095238092</v>
      </c>
      <c r="F27" s="163">
        <f t="shared" si="5"/>
        <v>183580.95238095231</v>
      </c>
      <c r="G27" s="165">
        <f t="shared" si="6"/>
        <v>25950.871777845641</v>
      </c>
      <c r="H27" s="147">
        <f t="shared" si="7"/>
        <v>25950.871777845641</v>
      </c>
      <c r="I27" s="160">
        <f t="shared" si="0"/>
        <v>0</v>
      </c>
      <c r="J27" s="160"/>
      <c r="K27" s="335"/>
      <c r="L27" s="162">
        <f t="shared" si="1"/>
        <v>0</v>
      </c>
      <c r="M27" s="335"/>
      <c r="N27" s="162">
        <f t="shared" si="2"/>
        <v>0</v>
      </c>
      <c r="O27" s="162">
        <f t="shared" si="3"/>
        <v>0</v>
      </c>
      <c r="P27" s="4"/>
    </row>
    <row r="28" spans="2:16">
      <c r="B28" s="9" t="str">
        <f t="shared" si="8"/>
        <v/>
      </c>
      <c r="C28" s="157">
        <f>IF(D11="","-",+C27+1)</f>
        <v>2029</v>
      </c>
      <c r="D28" s="166">
        <f>IF(F27+SUM(E$17:E27)=D$10,F27,D$10-SUM(E$17:E27))</f>
        <v>183580.95238095231</v>
      </c>
      <c r="E28" s="164">
        <f t="shared" si="4"/>
        <v>5809.5238095238092</v>
      </c>
      <c r="F28" s="163">
        <f t="shared" si="5"/>
        <v>177771.42857142849</v>
      </c>
      <c r="G28" s="165">
        <f t="shared" si="6"/>
        <v>25323.415454844962</v>
      </c>
      <c r="H28" s="147">
        <f t="shared" si="7"/>
        <v>25323.415454844962</v>
      </c>
      <c r="I28" s="160">
        <f t="shared" si="0"/>
        <v>0</v>
      </c>
      <c r="J28" s="160"/>
      <c r="K28" s="335"/>
      <c r="L28" s="162">
        <f t="shared" si="1"/>
        <v>0</v>
      </c>
      <c r="M28" s="335"/>
      <c r="N28" s="162">
        <f t="shared" si="2"/>
        <v>0</v>
      </c>
      <c r="O28" s="162">
        <f t="shared" si="3"/>
        <v>0</v>
      </c>
      <c r="P28" s="4"/>
    </row>
    <row r="29" spans="2:16">
      <c r="B29" s="9" t="str">
        <f t="shared" si="8"/>
        <v/>
      </c>
      <c r="C29" s="157">
        <f>IF(D11="","-",+C28+1)</f>
        <v>2030</v>
      </c>
      <c r="D29" s="166">
        <f>IF(F28+SUM(E$17:E28)=D$10,F28,D$10-SUM(E$17:E28))</f>
        <v>177771.42857142849</v>
      </c>
      <c r="E29" s="164">
        <f t="shared" si="4"/>
        <v>5809.5238095238092</v>
      </c>
      <c r="F29" s="163">
        <f t="shared" si="5"/>
        <v>171961.90476190468</v>
      </c>
      <c r="G29" s="165">
        <f t="shared" si="6"/>
        <v>24695.959131844276</v>
      </c>
      <c r="H29" s="147">
        <f t="shared" si="7"/>
        <v>24695.959131844276</v>
      </c>
      <c r="I29" s="160">
        <f t="shared" si="0"/>
        <v>0</v>
      </c>
      <c r="J29" s="160"/>
      <c r="K29" s="335"/>
      <c r="L29" s="162">
        <f t="shared" si="1"/>
        <v>0</v>
      </c>
      <c r="M29" s="335"/>
      <c r="N29" s="162">
        <f t="shared" si="2"/>
        <v>0</v>
      </c>
      <c r="O29" s="162">
        <f t="shared" si="3"/>
        <v>0</v>
      </c>
      <c r="P29" s="4"/>
    </row>
    <row r="30" spans="2:16">
      <c r="B30" s="9" t="str">
        <f t="shared" si="8"/>
        <v/>
      </c>
      <c r="C30" s="157">
        <f>IF(D11="","-",+C29+1)</f>
        <v>2031</v>
      </c>
      <c r="D30" s="166">
        <f>IF(F29+SUM(E$17:E29)=D$10,F29,D$10-SUM(E$17:E29))</f>
        <v>171961.90476190468</v>
      </c>
      <c r="E30" s="164">
        <f t="shared" si="4"/>
        <v>5809.5238095238092</v>
      </c>
      <c r="F30" s="163">
        <f t="shared" si="5"/>
        <v>166152.38095238086</v>
      </c>
      <c r="G30" s="165">
        <f t="shared" si="6"/>
        <v>24068.502808843601</v>
      </c>
      <c r="H30" s="147">
        <f t="shared" si="7"/>
        <v>24068.502808843601</v>
      </c>
      <c r="I30" s="160">
        <f t="shared" si="0"/>
        <v>0</v>
      </c>
      <c r="J30" s="160"/>
      <c r="K30" s="335"/>
      <c r="L30" s="162">
        <f t="shared" si="1"/>
        <v>0</v>
      </c>
      <c r="M30" s="335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8"/>
        <v/>
      </c>
      <c r="C31" s="157">
        <f>IF(D11="","-",+C30+1)</f>
        <v>2032</v>
      </c>
      <c r="D31" s="166">
        <f>IF(F30+SUM(E$17:E30)=D$10,F30,D$10-SUM(E$17:E30))</f>
        <v>166152.38095238086</v>
      </c>
      <c r="E31" s="164">
        <f t="shared" si="4"/>
        <v>5809.5238095238092</v>
      </c>
      <c r="F31" s="163">
        <f t="shared" si="5"/>
        <v>160342.85714285704</v>
      </c>
      <c r="G31" s="165">
        <f t="shared" si="6"/>
        <v>23441.046485842915</v>
      </c>
      <c r="H31" s="147">
        <f t="shared" si="7"/>
        <v>23441.046485842915</v>
      </c>
      <c r="I31" s="160">
        <f t="shared" si="0"/>
        <v>0</v>
      </c>
      <c r="J31" s="160"/>
      <c r="K31" s="335"/>
      <c r="L31" s="162">
        <f t="shared" si="1"/>
        <v>0</v>
      </c>
      <c r="M31" s="335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8"/>
        <v/>
      </c>
      <c r="C32" s="157">
        <f>IF(D11="","-",+C31+1)</f>
        <v>2033</v>
      </c>
      <c r="D32" s="166">
        <f>IF(F31+SUM(E$17:E31)=D$10,F31,D$10-SUM(E$17:E31))</f>
        <v>160342.85714285704</v>
      </c>
      <c r="E32" s="164">
        <f t="shared" si="4"/>
        <v>5809.5238095238092</v>
      </c>
      <c r="F32" s="163">
        <f t="shared" si="5"/>
        <v>154533.33333333323</v>
      </c>
      <c r="G32" s="165">
        <f t="shared" si="6"/>
        <v>22813.590162842236</v>
      </c>
      <c r="H32" s="147">
        <f t="shared" si="7"/>
        <v>22813.590162842236</v>
      </c>
      <c r="I32" s="160">
        <f t="shared" si="0"/>
        <v>0</v>
      </c>
      <c r="J32" s="160"/>
      <c r="K32" s="335"/>
      <c r="L32" s="162">
        <f t="shared" si="1"/>
        <v>0</v>
      </c>
      <c r="M32" s="335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8"/>
        <v/>
      </c>
      <c r="C33" s="157">
        <f>IF(D11="","-",+C32+1)</f>
        <v>2034</v>
      </c>
      <c r="D33" s="166">
        <f>IF(F32+SUM(E$17:E32)=D$10,F32,D$10-SUM(E$17:E32))</f>
        <v>154533.33333333323</v>
      </c>
      <c r="E33" s="164">
        <f t="shared" si="4"/>
        <v>5809.5238095238092</v>
      </c>
      <c r="F33" s="163">
        <f t="shared" si="5"/>
        <v>148723.80952380941</v>
      </c>
      <c r="G33" s="165">
        <f t="shared" si="6"/>
        <v>22186.133839841554</v>
      </c>
      <c r="H33" s="147">
        <f t="shared" si="7"/>
        <v>22186.133839841554</v>
      </c>
      <c r="I33" s="160">
        <f t="shared" si="0"/>
        <v>0</v>
      </c>
      <c r="J33" s="160"/>
      <c r="K33" s="335"/>
      <c r="L33" s="162">
        <f t="shared" si="1"/>
        <v>0</v>
      </c>
      <c r="M33" s="335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8"/>
        <v/>
      </c>
      <c r="C34" s="157">
        <f>IF(D11="","-",+C33+1)</f>
        <v>2035</v>
      </c>
      <c r="D34" s="166">
        <f>IF(F33+SUM(E$17:E33)=D$10,F33,D$10-SUM(E$17:E33))</f>
        <v>148723.80952380941</v>
      </c>
      <c r="E34" s="164">
        <f t="shared" si="4"/>
        <v>5809.5238095238092</v>
      </c>
      <c r="F34" s="163">
        <f t="shared" si="5"/>
        <v>142914.28571428559</v>
      </c>
      <c r="G34" s="165">
        <f t="shared" si="6"/>
        <v>21558.677516840875</v>
      </c>
      <c r="H34" s="147">
        <f t="shared" si="7"/>
        <v>21558.677516840875</v>
      </c>
      <c r="I34" s="160">
        <f t="shared" si="0"/>
        <v>0</v>
      </c>
      <c r="J34" s="160"/>
      <c r="K34" s="335"/>
      <c r="L34" s="162">
        <f t="shared" si="1"/>
        <v>0</v>
      </c>
      <c r="M34" s="335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8"/>
        <v/>
      </c>
      <c r="C35" s="157">
        <f>IF(D11="","-",+C34+1)</f>
        <v>2036</v>
      </c>
      <c r="D35" s="166">
        <f>IF(F34+SUM(E$17:E34)=D$10,F34,D$10-SUM(E$17:E34))</f>
        <v>142914.28571428559</v>
      </c>
      <c r="E35" s="164">
        <f t="shared" si="4"/>
        <v>5809.5238095238092</v>
      </c>
      <c r="F35" s="163">
        <f t="shared" si="5"/>
        <v>137104.76190476178</v>
      </c>
      <c r="G35" s="165">
        <f t="shared" si="6"/>
        <v>20931.221193840189</v>
      </c>
      <c r="H35" s="147">
        <f t="shared" si="7"/>
        <v>20931.221193840189</v>
      </c>
      <c r="I35" s="160">
        <f t="shared" si="0"/>
        <v>0</v>
      </c>
      <c r="J35" s="160"/>
      <c r="K35" s="335"/>
      <c r="L35" s="162">
        <f t="shared" si="1"/>
        <v>0</v>
      </c>
      <c r="M35" s="335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8"/>
        <v/>
      </c>
      <c r="C36" s="157">
        <f>IF(D11="","-",+C35+1)</f>
        <v>2037</v>
      </c>
      <c r="D36" s="166">
        <f>IF(F35+SUM(E$17:E35)=D$10,F35,D$10-SUM(E$17:E35))</f>
        <v>137104.76190476178</v>
      </c>
      <c r="E36" s="164">
        <f t="shared" si="4"/>
        <v>5809.5238095238092</v>
      </c>
      <c r="F36" s="163">
        <f t="shared" si="5"/>
        <v>131295.23809523796</v>
      </c>
      <c r="G36" s="165">
        <f t="shared" si="6"/>
        <v>20303.764870839514</v>
      </c>
      <c r="H36" s="147">
        <f t="shared" si="7"/>
        <v>20303.764870839514</v>
      </c>
      <c r="I36" s="160">
        <f t="shared" si="0"/>
        <v>0</v>
      </c>
      <c r="J36" s="160"/>
      <c r="K36" s="335"/>
      <c r="L36" s="162">
        <f t="shared" si="1"/>
        <v>0</v>
      </c>
      <c r="M36" s="335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8"/>
        <v/>
      </c>
      <c r="C37" s="157">
        <f>IF(D11="","-",+C36+1)</f>
        <v>2038</v>
      </c>
      <c r="D37" s="166">
        <f>IF(F36+SUM(E$17:E36)=D$10,F36,D$10-SUM(E$17:E36))</f>
        <v>131295.23809523796</v>
      </c>
      <c r="E37" s="164">
        <f t="shared" si="4"/>
        <v>5809.5238095238092</v>
      </c>
      <c r="F37" s="163">
        <f t="shared" si="5"/>
        <v>125485.71428571414</v>
      </c>
      <c r="G37" s="165">
        <f t="shared" si="6"/>
        <v>19676.308547838831</v>
      </c>
      <c r="H37" s="147">
        <f t="shared" si="7"/>
        <v>19676.308547838831</v>
      </c>
      <c r="I37" s="160">
        <f t="shared" si="0"/>
        <v>0</v>
      </c>
      <c r="J37" s="160"/>
      <c r="K37" s="335"/>
      <c r="L37" s="162">
        <f t="shared" si="1"/>
        <v>0</v>
      </c>
      <c r="M37" s="335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8"/>
        <v/>
      </c>
      <c r="C38" s="157">
        <f>IF(D11="","-",+C37+1)</f>
        <v>2039</v>
      </c>
      <c r="D38" s="166">
        <f>IF(F37+SUM(E$17:E37)=D$10,F37,D$10-SUM(E$17:E37))</f>
        <v>125485.71428571414</v>
      </c>
      <c r="E38" s="164">
        <f t="shared" si="4"/>
        <v>5809.5238095238092</v>
      </c>
      <c r="F38" s="163">
        <f t="shared" si="5"/>
        <v>119676.19047619033</v>
      </c>
      <c r="G38" s="165">
        <f t="shared" si="6"/>
        <v>19048.852224838149</v>
      </c>
      <c r="H38" s="147">
        <f t="shared" si="7"/>
        <v>19048.852224838149</v>
      </c>
      <c r="I38" s="160">
        <f t="shared" si="0"/>
        <v>0</v>
      </c>
      <c r="J38" s="160"/>
      <c r="K38" s="335"/>
      <c r="L38" s="162">
        <f t="shared" si="1"/>
        <v>0</v>
      </c>
      <c r="M38" s="335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8"/>
        <v/>
      </c>
      <c r="C39" s="157">
        <f>IF(D11="","-",+C38+1)</f>
        <v>2040</v>
      </c>
      <c r="D39" s="166">
        <f>IF(F38+SUM(E$17:E38)=D$10,F38,D$10-SUM(E$17:E38))</f>
        <v>119676.19047619033</v>
      </c>
      <c r="E39" s="164">
        <f t="shared" si="4"/>
        <v>5809.5238095238092</v>
      </c>
      <c r="F39" s="163">
        <f t="shared" si="5"/>
        <v>113866.66666666651</v>
      </c>
      <c r="G39" s="165">
        <f t="shared" si="6"/>
        <v>18421.395901837466</v>
      </c>
      <c r="H39" s="147">
        <f t="shared" si="7"/>
        <v>18421.395901837466</v>
      </c>
      <c r="I39" s="160">
        <f t="shared" si="0"/>
        <v>0</v>
      </c>
      <c r="J39" s="160"/>
      <c r="K39" s="335"/>
      <c r="L39" s="162">
        <f t="shared" si="1"/>
        <v>0</v>
      </c>
      <c r="M39" s="335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8"/>
        <v/>
      </c>
      <c r="C40" s="157">
        <f>IF(D11="","-",+C39+1)</f>
        <v>2041</v>
      </c>
      <c r="D40" s="166">
        <f>IF(F39+SUM(E$17:E39)=D$10,F39,D$10-SUM(E$17:E39))</f>
        <v>113866.66666666651</v>
      </c>
      <c r="E40" s="164">
        <f t="shared" si="4"/>
        <v>5809.5238095238092</v>
      </c>
      <c r="F40" s="163">
        <f t="shared" si="5"/>
        <v>108057.14285714269</v>
      </c>
      <c r="G40" s="165">
        <f t="shared" si="6"/>
        <v>17793.939578836787</v>
      </c>
      <c r="H40" s="147">
        <f t="shared" si="7"/>
        <v>17793.939578836787</v>
      </c>
      <c r="I40" s="160">
        <f t="shared" si="0"/>
        <v>0</v>
      </c>
      <c r="J40" s="160"/>
      <c r="K40" s="335"/>
      <c r="L40" s="162">
        <f t="shared" si="1"/>
        <v>0</v>
      </c>
      <c r="M40" s="335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8"/>
        <v/>
      </c>
      <c r="C41" s="157">
        <f>IF(D11="","-",+C40+1)</f>
        <v>2042</v>
      </c>
      <c r="D41" s="166">
        <f>IF(F40+SUM(E$17:E40)=D$10,F40,D$10-SUM(E$17:E40))</f>
        <v>108057.14285714269</v>
      </c>
      <c r="E41" s="164">
        <f t="shared" si="4"/>
        <v>5809.5238095238092</v>
      </c>
      <c r="F41" s="163">
        <f t="shared" si="5"/>
        <v>102247.61904761888</v>
      </c>
      <c r="G41" s="165">
        <f t="shared" si="6"/>
        <v>17166.483255836109</v>
      </c>
      <c r="H41" s="147">
        <f t="shared" si="7"/>
        <v>17166.483255836109</v>
      </c>
      <c r="I41" s="160">
        <f t="shared" si="0"/>
        <v>0</v>
      </c>
      <c r="J41" s="160"/>
      <c r="K41" s="335"/>
      <c r="L41" s="162">
        <f t="shared" si="1"/>
        <v>0</v>
      </c>
      <c r="M41" s="335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8"/>
        <v/>
      </c>
      <c r="C42" s="157">
        <f>IF(D11="","-",+C41+1)</f>
        <v>2043</v>
      </c>
      <c r="D42" s="166">
        <f>IF(F41+SUM(E$17:E41)=D$10,F41,D$10-SUM(E$17:E41))</f>
        <v>102247.61904761888</v>
      </c>
      <c r="E42" s="164">
        <f t="shared" si="4"/>
        <v>5809.5238095238092</v>
      </c>
      <c r="F42" s="163">
        <f t="shared" si="5"/>
        <v>96438.095238095062</v>
      </c>
      <c r="G42" s="165">
        <f t="shared" si="6"/>
        <v>16539.026932835426</v>
      </c>
      <c r="H42" s="147">
        <f t="shared" si="7"/>
        <v>16539.026932835426</v>
      </c>
      <c r="I42" s="160">
        <f t="shared" si="0"/>
        <v>0</v>
      </c>
      <c r="J42" s="160"/>
      <c r="K42" s="335"/>
      <c r="L42" s="162">
        <f t="shared" si="1"/>
        <v>0</v>
      </c>
      <c r="M42" s="335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8"/>
        <v/>
      </c>
      <c r="C43" s="157">
        <f>IF(D11="","-",+C42+1)</f>
        <v>2044</v>
      </c>
      <c r="D43" s="166">
        <f>IF(F42+SUM(E$17:E42)=D$10,F42,D$10-SUM(E$17:E42))</f>
        <v>96438.095238095062</v>
      </c>
      <c r="E43" s="164">
        <f t="shared" si="4"/>
        <v>5809.5238095238092</v>
      </c>
      <c r="F43" s="163">
        <f t="shared" si="5"/>
        <v>90628.571428571246</v>
      </c>
      <c r="G43" s="165">
        <f t="shared" si="6"/>
        <v>15911.570609834744</v>
      </c>
      <c r="H43" s="147">
        <f t="shared" si="7"/>
        <v>15911.570609834744</v>
      </c>
      <c r="I43" s="160">
        <f t="shared" si="0"/>
        <v>0</v>
      </c>
      <c r="J43" s="160"/>
      <c r="K43" s="335"/>
      <c r="L43" s="162">
        <f t="shared" si="1"/>
        <v>0</v>
      </c>
      <c r="M43" s="335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8"/>
        <v/>
      </c>
      <c r="C44" s="157">
        <f>IF(D11="","-",+C43+1)</f>
        <v>2045</v>
      </c>
      <c r="D44" s="166">
        <f>IF(F43+SUM(E$17:E43)=D$10,F43,D$10-SUM(E$17:E43))</f>
        <v>90628.571428571246</v>
      </c>
      <c r="E44" s="164">
        <f t="shared" si="4"/>
        <v>5809.5238095238092</v>
      </c>
      <c r="F44" s="163">
        <f t="shared" si="5"/>
        <v>84819.047619047429</v>
      </c>
      <c r="G44" s="165">
        <f t="shared" si="6"/>
        <v>15284.114286834063</v>
      </c>
      <c r="H44" s="147">
        <f t="shared" si="7"/>
        <v>15284.114286834063</v>
      </c>
      <c r="I44" s="160">
        <f t="shared" si="0"/>
        <v>0</v>
      </c>
      <c r="J44" s="160"/>
      <c r="K44" s="335"/>
      <c r="L44" s="162">
        <f t="shared" si="1"/>
        <v>0</v>
      </c>
      <c r="M44" s="335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8"/>
        <v/>
      </c>
      <c r="C45" s="157">
        <f>IF(D11="","-",+C44+1)</f>
        <v>2046</v>
      </c>
      <c r="D45" s="166">
        <f>IF(F44+SUM(E$17:E44)=D$10,F44,D$10-SUM(E$17:E44))</f>
        <v>84819.047619047429</v>
      </c>
      <c r="E45" s="164">
        <f t="shared" si="4"/>
        <v>5809.5238095238092</v>
      </c>
      <c r="F45" s="163">
        <f t="shared" si="5"/>
        <v>79009.523809523613</v>
      </c>
      <c r="G45" s="165">
        <f t="shared" si="6"/>
        <v>14656.657963833382</v>
      </c>
      <c r="H45" s="147">
        <f t="shared" si="7"/>
        <v>14656.657963833382</v>
      </c>
      <c r="I45" s="160">
        <f t="shared" si="0"/>
        <v>0</v>
      </c>
      <c r="J45" s="160"/>
      <c r="K45" s="335"/>
      <c r="L45" s="162">
        <f t="shared" si="1"/>
        <v>0</v>
      </c>
      <c r="M45" s="335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8"/>
        <v/>
      </c>
      <c r="C46" s="157">
        <f>IF(D11="","-",+C45+1)</f>
        <v>2047</v>
      </c>
      <c r="D46" s="166">
        <f>IF(F45+SUM(E$17:E45)=D$10,F45,D$10-SUM(E$17:E45))</f>
        <v>79009.523809523613</v>
      </c>
      <c r="E46" s="164">
        <f t="shared" si="4"/>
        <v>5809.5238095238092</v>
      </c>
      <c r="F46" s="163">
        <f t="shared" si="5"/>
        <v>73199.999999999796</v>
      </c>
      <c r="G46" s="165">
        <f t="shared" si="6"/>
        <v>14029.2016408327</v>
      </c>
      <c r="H46" s="147">
        <f t="shared" si="7"/>
        <v>14029.2016408327</v>
      </c>
      <c r="I46" s="160">
        <f t="shared" si="0"/>
        <v>0</v>
      </c>
      <c r="J46" s="160"/>
      <c r="K46" s="335"/>
      <c r="L46" s="162">
        <f t="shared" si="1"/>
        <v>0</v>
      </c>
      <c r="M46" s="335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8"/>
        <v/>
      </c>
      <c r="C47" s="157">
        <f>IF(D11="","-",+C46+1)</f>
        <v>2048</v>
      </c>
      <c r="D47" s="166">
        <f>IF(F46+SUM(E$17:E46)=D$10,F46,D$10-SUM(E$17:E46))</f>
        <v>73199.999999999796</v>
      </c>
      <c r="E47" s="164">
        <f t="shared" si="4"/>
        <v>5809.5238095238092</v>
      </c>
      <c r="F47" s="163">
        <f t="shared" si="5"/>
        <v>67390.47619047598</v>
      </c>
      <c r="G47" s="165">
        <f t="shared" si="6"/>
        <v>13401.745317832019</v>
      </c>
      <c r="H47" s="147">
        <f t="shared" si="7"/>
        <v>13401.745317832019</v>
      </c>
      <c r="I47" s="160">
        <f t="shared" si="0"/>
        <v>0</v>
      </c>
      <c r="J47" s="160"/>
      <c r="K47" s="335"/>
      <c r="L47" s="162">
        <f t="shared" si="1"/>
        <v>0</v>
      </c>
      <c r="M47" s="335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8"/>
        <v/>
      </c>
      <c r="C48" s="157">
        <f>IF(D11="","-",+C47+1)</f>
        <v>2049</v>
      </c>
      <c r="D48" s="166">
        <f>IF(F47+SUM(E$17:E47)=D$10,F47,D$10-SUM(E$17:E47))</f>
        <v>67390.47619047598</v>
      </c>
      <c r="E48" s="164">
        <f t="shared" si="4"/>
        <v>5809.5238095238092</v>
      </c>
      <c r="F48" s="163">
        <f t="shared" si="5"/>
        <v>61580.952380952171</v>
      </c>
      <c r="G48" s="165">
        <f t="shared" si="6"/>
        <v>12774.288994831339</v>
      </c>
      <c r="H48" s="147">
        <f t="shared" si="7"/>
        <v>12774.288994831339</v>
      </c>
      <c r="I48" s="160">
        <f t="shared" si="0"/>
        <v>0</v>
      </c>
      <c r="J48" s="160"/>
      <c r="K48" s="335"/>
      <c r="L48" s="162">
        <f t="shared" si="1"/>
        <v>0</v>
      </c>
      <c r="M48" s="335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8"/>
        <v/>
      </c>
      <c r="C49" s="157">
        <f>IF(D11="","-",+C48+1)</f>
        <v>2050</v>
      </c>
      <c r="D49" s="166">
        <f>IF(F48+SUM(E$17:E48)=D$10,F48,D$10-SUM(E$17:E48))</f>
        <v>61580.952380952171</v>
      </c>
      <c r="E49" s="164">
        <f t="shared" si="4"/>
        <v>5809.5238095238092</v>
      </c>
      <c r="F49" s="163">
        <f t="shared" si="5"/>
        <v>55771.428571428361</v>
      </c>
      <c r="G49" s="165">
        <f t="shared" si="6"/>
        <v>12146.83267183066</v>
      </c>
      <c r="H49" s="147">
        <f t="shared" si="7"/>
        <v>12146.83267183066</v>
      </c>
      <c r="I49" s="160">
        <f t="shared" si="0"/>
        <v>0</v>
      </c>
      <c r="J49" s="160"/>
      <c r="K49" s="335"/>
      <c r="L49" s="162">
        <f t="shared" si="1"/>
        <v>0</v>
      </c>
      <c r="M49" s="335"/>
      <c r="N49" s="162">
        <f t="shared" si="2"/>
        <v>0</v>
      </c>
      <c r="O49" s="162">
        <f t="shared" si="3"/>
        <v>0</v>
      </c>
      <c r="P49" s="4"/>
    </row>
    <row r="50" spans="2:16">
      <c r="B50" s="9" t="str">
        <f t="shared" si="8"/>
        <v/>
      </c>
      <c r="C50" s="157">
        <f>IF(D11="","-",+C49+1)</f>
        <v>2051</v>
      </c>
      <c r="D50" s="166">
        <f>IF(F49+SUM(E$17:E49)=D$10,F49,D$10-SUM(E$17:E49))</f>
        <v>55771.428571428361</v>
      </c>
      <c r="E50" s="164">
        <f t="shared" si="4"/>
        <v>5809.5238095238092</v>
      </c>
      <c r="F50" s="163">
        <f t="shared" si="5"/>
        <v>49961.904761904552</v>
      </c>
      <c r="G50" s="165">
        <f t="shared" si="6"/>
        <v>11519.376348829977</v>
      </c>
      <c r="H50" s="147">
        <f t="shared" si="7"/>
        <v>11519.376348829977</v>
      </c>
      <c r="I50" s="160">
        <f t="shared" si="0"/>
        <v>0</v>
      </c>
      <c r="J50" s="160"/>
      <c r="K50" s="335"/>
      <c r="L50" s="162">
        <f t="shared" si="1"/>
        <v>0</v>
      </c>
      <c r="M50" s="335"/>
      <c r="N50" s="162">
        <f t="shared" si="2"/>
        <v>0</v>
      </c>
      <c r="O50" s="162">
        <f t="shared" si="3"/>
        <v>0</v>
      </c>
      <c r="P50" s="4"/>
    </row>
    <row r="51" spans="2:16">
      <c r="B51" s="9" t="str">
        <f t="shared" si="8"/>
        <v/>
      </c>
      <c r="C51" s="157">
        <f>IF(D11="","-",+C50+1)</f>
        <v>2052</v>
      </c>
      <c r="D51" s="166">
        <f>IF(F50+SUM(E$17:E50)=D$10,F50,D$10-SUM(E$17:E50))</f>
        <v>49961.904761904552</v>
      </c>
      <c r="E51" s="164">
        <f t="shared" si="4"/>
        <v>5809.5238095238092</v>
      </c>
      <c r="F51" s="163">
        <f t="shared" si="5"/>
        <v>44152.380952380743</v>
      </c>
      <c r="G51" s="165">
        <f t="shared" si="6"/>
        <v>10891.920025829299</v>
      </c>
      <c r="H51" s="147">
        <f t="shared" si="7"/>
        <v>10891.920025829299</v>
      </c>
      <c r="I51" s="160">
        <f t="shared" si="0"/>
        <v>0</v>
      </c>
      <c r="J51" s="160"/>
      <c r="K51" s="335"/>
      <c r="L51" s="162">
        <f t="shared" si="1"/>
        <v>0</v>
      </c>
      <c r="M51" s="335"/>
      <c r="N51" s="162">
        <f t="shared" si="2"/>
        <v>0</v>
      </c>
      <c r="O51" s="162">
        <f t="shared" si="3"/>
        <v>0</v>
      </c>
      <c r="P51" s="4"/>
    </row>
    <row r="52" spans="2:16">
      <c r="B52" s="9" t="str">
        <f t="shared" si="8"/>
        <v/>
      </c>
      <c r="C52" s="157">
        <f>IF(D11="","-",+C51+1)</f>
        <v>2053</v>
      </c>
      <c r="D52" s="166">
        <f>IF(F51+SUM(E$17:E51)=D$10,F51,D$10-SUM(E$17:E51))</f>
        <v>44152.380952380743</v>
      </c>
      <c r="E52" s="164">
        <f t="shared" si="4"/>
        <v>5809.5238095238092</v>
      </c>
      <c r="F52" s="163">
        <f t="shared" si="5"/>
        <v>38342.857142856934</v>
      </c>
      <c r="G52" s="165">
        <f t="shared" si="6"/>
        <v>10264.463702828616</v>
      </c>
      <c r="H52" s="147">
        <f t="shared" si="7"/>
        <v>10264.463702828616</v>
      </c>
      <c r="I52" s="160">
        <f t="shared" si="0"/>
        <v>0</v>
      </c>
      <c r="J52" s="160"/>
      <c r="K52" s="335"/>
      <c r="L52" s="162">
        <f t="shared" si="1"/>
        <v>0</v>
      </c>
      <c r="M52" s="335"/>
      <c r="N52" s="162">
        <f t="shared" si="2"/>
        <v>0</v>
      </c>
      <c r="O52" s="162">
        <f t="shared" si="3"/>
        <v>0</v>
      </c>
      <c r="P52" s="4"/>
    </row>
    <row r="53" spans="2:16">
      <c r="B53" s="9" t="str">
        <f t="shared" si="8"/>
        <v/>
      </c>
      <c r="C53" s="157">
        <f>IF(D11="","-",+C52+1)</f>
        <v>2054</v>
      </c>
      <c r="D53" s="166">
        <f>IF(F52+SUM(E$17:E52)=D$10,F52,D$10-SUM(E$17:E52))</f>
        <v>38342.857142856934</v>
      </c>
      <c r="E53" s="164">
        <f t="shared" si="4"/>
        <v>5809.5238095238092</v>
      </c>
      <c r="F53" s="163">
        <f t="shared" si="5"/>
        <v>32533.333333333125</v>
      </c>
      <c r="G53" s="165">
        <f t="shared" si="6"/>
        <v>9637.0073798279373</v>
      </c>
      <c r="H53" s="147">
        <f t="shared" si="7"/>
        <v>9637.0073798279373</v>
      </c>
      <c r="I53" s="160">
        <f t="shared" si="0"/>
        <v>0</v>
      </c>
      <c r="J53" s="160"/>
      <c r="K53" s="335"/>
      <c r="L53" s="162">
        <f t="shared" si="1"/>
        <v>0</v>
      </c>
      <c r="M53" s="335"/>
      <c r="N53" s="162">
        <f t="shared" si="2"/>
        <v>0</v>
      </c>
      <c r="O53" s="162">
        <f t="shared" si="3"/>
        <v>0</v>
      </c>
      <c r="P53" s="4"/>
    </row>
    <row r="54" spans="2:16">
      <c r="B54" s="9" t="str">
        <f t="shared" si="8"/>
        <v/>
      </c>
      <c r="C54" s="157">
        <f>IF(D11="","-",+C53+1)</f>
        <v>2055</v>
      </c>
      <c r="D54" s="166">
        <f>IF(F53+SUM(E$17:E53)=D$10,F53,D$10-SUM(E$17:E53))</f>
        <v>32533.333333333125</v>
      </c>
      <c r="E54" s="164">
        <f t="shared" si="4"/>
        <v>5809.5238095238092</v>
      </c>
      <c r="F54" s="163">
        <f t="shared" si="5"/>
        <v>26723.809523809316</v>
      </c>
      <c r="G54" s="165">
        <f t="shared" si="6"/>
        <v>9009.5510568272566</v>
      </c>
      <c r="H54" s="147">
        <f t="shared" si="7"/>
        <v>9009.5510568272566</v>
      </c>
      <c r="I54" s="160">
        <f t="shared" si="0"/>
        <v>0</v>
      </c>
      <c r="J54" s="160"/>
      <c r="K54" s="335"/>
      <c r="L54" s="162">
        <f t="shared" si="1"/>
        <v>0</v>
      </c>
      <c r="M54" s="335"/>
      <c r="N54" s="162">
        <f t="shared" si="2"/>
        <v>0</v>
      </c>
      <c r="O54" s="162">
        <f t="shared" si="3"/>
        <v>0</v>
      </c>
      <c r="P54" s="4"/>
    </row>
    <row r="55" spans="2:16">
      <c r="B55" s="9" t="str">
        <f t="shared" si="8"/>
        <v/>
      </c>
      <c r="C55" s="157">
        <f>IF(D11="","-",+C54+1)</f>
        <v>2056</v>
      </c>
      <c r="D55" s="166">
        <f>IF(F54+SUM(E$17:E54)=D$10,F54,D$10-SUM(E$17:E54))</f>
        <v>26723.809523809316</v>
      </c>
      <c r="E55" s="164">
        <f t="shared" si="4"/>
        <v>5809.5238095238092</v>
      </c>
      <c r="F55" s="163">
        <f t="shared" si="5"/>
        <v>20914.285714285506</v>
      </c>
      <c r="G55" s="165">
        <f t="shared" si="6"/>
        <v>8382.094733826576</v>
      </c>
      <c r="H55" s="147">
        <f t="shared" si="7"/>
        <v>8382.094733826576</v>
      </c>
      <c r="I55" s="160">
        <f t="shared" si="0"/>
        <v>0</v>
      </c>
      <c r="J55" s="160"/>
      <c r="K55" s="335"/>
      <c r="L55" s="162">
        <f t="shared" si="1"/>
        <v>0</v>
      </c>
      <c r="M55" s="335"/>
      <c r="N55" s="162">
        <f t="shared" si="2"/>
        <v>0</v>
      </c>
      <c r="O55" s="162">
        <f t="shared" si="3"/>
        <v>0</v>
      </c>
      <c r="P55" s="4"/>
    </row>
    <row r="56" spans="2:16">
      <c r="B56" s="9" t="str">
        <f t="shared" si="8"/>
        <v/>
      </c>
      <c r="C56" s="157">
        <f>IF(D11="","-",+C55+1)</f>
        <v>2057</v>
      </c>
      <c r="D56" s="166">
        <f>IF(F55+SUM(E$17:E55)=D$10,F55,D$10-SUM(E$17:E55))</f>
        <v>20914.285714285506</v>
      </c>
      <c r="E56" s="164">
        <f t="shared" si="4"/>
        <v>5809.5238095238092</v>
      </c>
      <c r="F56" s="163">
        <f t="shared" si="5"/>
        <v>15104.761904761697</v>
      </c>
      <c r="G56" s="165">
        <f t="shared" si="6"/>
        <v>7754.6384108258953</v>
      </c>
      <c r="H56" s="147">
        <f t="shared" si="7"/>
        <v>7754.6384108258953</v>
      </c>
      <c r="I56" s="160">
        <f t="shared" si="0"/>
        <v>0</v>
      </c>
      <c r="J56" s="160"/>
      <c r="K56" s="335"/>
      <c r="L56" s="162">
        <f t="shared" si="1"/>
        <v>0</v>
      </c>
      <c r="M56" s="335"/>
      <c r="N56" s="162">
        <f t="shared" si="2"/>
        <v>0</v>
      </c>
      <c r="O56" s="162">
        <f t="shared" si="3"/>
        <v>0</v>
      </c>
      <c r="P56" s="4"/>
    </row>
    <row r="57" spans="2:16">
      <c r="B57" s="9" t="str">
        <f t="shared" si="8"/>
        <v/>
      </c>
      <c r="C57" s="157">
        <f>IF(D11="","-",+C56+1)</f>
        <v>2058</v>
      </c>
      <c r="D57" s="166">
        <f>IF(F56+SUM(E$17:E56)=D$10,F56,D$10-SUM(E$17:E56))</f>
        <v>15104.761904761697</v>
      </c>
      <c r="E57" s="164">
        <f t="shared" si="4"/>
        <v>5809.5238095238092</v>
      </c>
      <c r="F57" s="163">
        <f t="shared" si="5"/>
        <v>9295.238095237888</v>
      </c>
      <c r="G57" s="165">
        <f t="shared" si="6"/>
        <v>7127.1820878252156</v>
      </c>
      <c r="H57" s="147">
        <f t="shared" si="7"/>
        <v>7127.1820878252156</v>
      </c>
      <c r="I57" s="160">
        <f t="shared" si="0"/>
        <v>0</v>
      </c>
      <c r="J57" s="160"/>
      <c r="K57" s="335"/>
      <c r="L57" s="162">
        <f t="shared" si="1"/>
        <v>0</v>
      </c>
      <c r="M57" s="335"/>
      <c r="N57" s="162">
        <f t="shared" si="2"/>
        <v>0</v>
      </c>
      <c r="O57" s="162">
        <f t="shared" si="3"/>
        <v>0</v>
      </c>
      <c r="P57" s="4"/>
    </row>
    <row r="58" spans="2:16">
      <c r="B58" s="9" t="str">
        <f t="shared" si="8"/>
        <v/>
      </c>
      <c r="C58" s="157">
        <f>IF(D11="","-",+C57+1)</f>
        <v>2059</v>
      </c>
      <c r="D58" s="166">
        <f>IF(F57+SUM(E$17:E57)=D$10,F57,D$10-SUM(E$17:E57))</f>
        <v>9295.238095237888</v>
      </c>
      <c r="E58" s="164">
        <f t="shared" si="4"/>
        <v>5809.5238095238092</v>
      </c>
      <c r="F58" s="163">
        <f t="shared" si="5"/>
        <v>3485.7142857140789</v>
      </c>
      <c r="G58" s="165">
        <f t="shared" si="6"/>
        <v>6499.725764824535</v>
      </c>
      <c r="H58" s="147">
        <f t="shared" si="7"/>
        <v>6499.725764824535</v>
      </c>
      <c r="I58" s="160">
        <f t="shared" si="0"/>
        <v>0</v>
      </c>
      <c r="J58" s="160"/>
      <c r="K58" s="335"/>
      <c r="L58" s="162">
        <f t="shared" si="1"/>
        <v>0</v>
      </c>
      <c r="M58" s="335"/>
      <c r="N58" s="162">
        <f t="shared" si="2"/>
        <v>0</v>
      </c>
      <c r="O58" s="162">
        <f t="shared" si="3"/>
        <v>0</v>
      </c>
      <c r="P58" s="4"/>
    </row>
    <row r="59" spans="2:16">
      <c r="B59" s="9" t="str">
        <f t="shared" si="8"/>
        <v/>
      </c>
      <c r="C59" s="157">
        <f>IF(D11="","-",+C58+1)</f>
        <v>2060</v>
      </c>
      <c r="D59" s="166">
        <f>IF(F58+SUM(E$17:E58)=D$10,F58,D$10-SUM(E$17:E58))</f>
        <v>3485.7142857140789</v>
      </c>
      <c r="E59" s="164">
        <f t="shared" si="4"/>
        <v>3485.7142857140789</v>
      </c>
      <c r="F59" s="163">
        <f t="shared" si="5"/>
        <v>0</v>
      </c>
      <c r="G59" s="165">
        <f t="shared" si="6"/>
        <v>3673.9511826142716</v>
      </c>
      <c r="H59" s="147">
        <f t="shared" si="7"/>
        <v>3673.9511826142716</v>
      </c>
      <c r="I59" s="160">
        <f t="shared" si="0"/>
        <v>0</v>
      </c>
      <c r="J59" s="160"/>
      <c r="K59" s="335"/>
      <c r="L59" s="162">
        <f t="shared" si="1"/>
        <v>0</v>
      </c>
      <c r="M59" s="335"/>
      <c r="N59" s="162">
        <f t="shared" si="2"/>
        <v>0</v>
      </c>
      <c r="O59" s="162">
        <f t="shared" si="3"/>
        <v>0</v>
      </c>
      <c r="P59" s="4"/>
    </row>
    <row r="60" spans="2:16">
      <c r="B60" s="9" t="str">
        <f t="shared" si="8"/>
        <v/>
      </c>
      <c r="C60" s="157">
        <f>IF(D11="","-",+C59+1)</f>
        <v>2061</v>
      </c>
      <c r="D60" s="166">
        <f>IF(F59+SUM(E$17:E59)=D$10,F59,D$10-SUM(E$17:E59))</f>
        <v>0</v>
      </c>
      <c r="E60" s="164">
        <f t="shared" si="4"/>
        <v>0</v>
      </c>
      <c r="F60" s="163">
        <f t="shared" si="5"/>
        <v>0</v>
      </c>
      <c r="G60" s="165">
        <f t="shared" si="6"/>
        <v>0</v>
      </c>
      <c r="H60" s="147">
        <f t="shared" si="7"/>
        <v>0</v>
      </c>
      <c r="I60" s="160">
        <f t="shared" si="0"/>
        <v>0</v>
      </c>
      <c r="J60" s="160"/>
      <c r="K60" s="335"/>
      <c r="L60" s="162">
        <f t="shared" si="1"/>
        <v>0</v>
      </c>
      <c r="M60" s="335"/>
      <c r="N60" s="162">
        <f t="shared" si="2"/>
        <v>0</v>
      </c>
      <c r="O60" s="162">
        <f t="shared" si="3"/>
        <v>0</v>
      </c>
      <c r="P60" s="4"/>
    </row>
    <row r="61" spans="2:16">
      <c r="B61" s="9" t="str">
        <f t="shared" si="8"/>
        <v/>
      </c>
      <c r="C61" s="157">
        <f>IF(D11="","-",+C60+1)</f>
        <v>2062</v>
      </c>
      <c r="D61" s="166">
        <f>IF(F60+SUM(E$17:E60)=D$10,F60,D$10-SUM(E$17:E60))</f>
        <v>0</v>
      </c>
      <c r="E61" s="164">
        <f t="shared" si="4"/>
        <v>0</v>
      </c>
      <c r="F61" s="163">
        <f t="shared" si="5"/>
        <v>0</v>
      </c>
      <c r="G61" s="165">
        <f t="shared" si="6"/>
        <v>0</v>
      </c>
      <c r="H61" s="147">
        <f t="shared" si="7"/>
        <v>0</v>
      </c>
      <c r="I61" s="160">
        <f t="shared" si="0"/>
        <v>0</v>
      </c>
      <c r="J61" s="160"/>
      <c r="K61" s="335"/>
      <c r="L61" s="162">
        <f t="shared" si="1"/>
        <v>0</v>
      </c>
      <c r="M61" s="335"/>
      <c r="N61" s="162">
        <f t="shared" si="2"/>
        <v>0</v>
      </c>
      <c r="O61" s="162">
        <f t="shared" si="3"/>
        <v>0</v>
      </c>
      <c r="P61" s="4"/>
    </row>
    <row r="62" spans="2:16">
      <c r="B62" s="9" t="str">
        <f t="shared" si="8"/>
        <v/>
      </c>
      <c r="C62" s="157">
        <f>IF(D11="","-",+C61+1)</f>
        <v>2063</v>
      </c>
      <c r="D62" s="166">
        <f>IF(F61+SUM(E$17:E61)=D$10,F61,D$10-SUM(E$17:E61))</f>
        <v>0</v>
      </c>
      <c r="E62" s="164">
        <f t="shared" si="4"/>
        <v>0</v>
      </c>
      <c r="F62" s="163">
        <f t="shared" si="5"/>
        <v>0</v>
      </c>
      <c r="G62" s="165">
        <f t="shared" si="6"/>
        <v>0</v>
      </c>
      <c r="H62" s="147">
        <f t="shared" si="7"/>
        <v>0</v>
      </c>
      <c r="I62" s="160">
        <f t="shared" si="0"/>
        <v>0</v>
      </c>
      <c r="J62" s="160"/>
      <c r="K62" s="335"/>
      <c r="L62" s="162">
        <f t="shared" si="1"/>
        <v>0</v>
      </c>
      <c r="M62" s="335"/>
      <c r="N62" s="162">
        <f t="shared" si="2"/>
        <v>0</v>
      </c>
      <c r="O62" s="162">
        <f t="shared" si="3"/>
        <v>0</v>
      </c>
      <c r="P62" s="4"/>
    </row>
    <row r="63" spans="2:16">
      <c r="B63" s="9" t="str">
        <f t="shared" si="8"/>
        <v/>
      </c>
      <c r="C63" s="157">
        <f>IF(D11="","-",+C62+1)</f>
        <v>2064</v>
      </c>
      <c r="D63" s="166">
        <f>IF(F62+SUM(E$17:E62)=D$10,F62,D$10-SUM(E$17:E62))</f>
        <v>0</v>
      </c>
      <c r="E63" s="164">
        <f t="shared" si="4"/>
        <v>0</v>
      </c>
      <c r="F63" s="163">
        <f t="shared" si="5"/>
        <v>0</v>
      </c>
      <c r="G63" s="165">
        <f t="shared" si="6"/>
        <v>0</v>
      </c>
      <c r="H63" s="147">
        <f t="shared" si="7"/>
        <v>0</v>
      </c>
      <c r="I63" s="160">
        <f t="shared" si="0"/>
        <v>0</v>
      </c>
      <c r="J63" s="160"/>
      <c r="K63" s="335"/>
      <c r="L63" s="162">
        <f t="shared" si="1"/>
        <v>0</v>
      </c>
      <c r="M63" s="335"/>
      <c r="N63" s="162">
        <f t="shared" si="2"/>
        <v>0</v>
      </c>
      <c r="O63" s="162">
        <f t="shared" si="3"/>
        <v>0</v>
      </c>
      <c r="P63" s="4"/>
    </row>
    <row r="64" spans="2:16">
      <c r="B64" s="9" t="str">
        <f t="shared" si="8"/>
        <v/>
      </c>
      <c r="C64" s="157">
        <f>IF(D11="","-",+C63+1)</f>
        <v>2065</v>
      </c>
      <c r="D64" s="166">
        <f>IF(F63+SUM(E$17:E63)=D$10,F63,D$10-SUM(E$17:E63))</f>
        <v>0</v>
      </c>
      <c r="E64" s="164">
        <f t="shared" si="4"/>
        <v>0</v>
      </c>
      <c r="F64" s="163">
        <f t="shared" si="5"/>
        <v>0</v>
      </c>
      <c r="G64" s="165">
        <f t="shared" si="6"/>
        <v>0</v>
      </c>
      <c r="H64" s="147">
        <f t="shared" si="7"/>
        <v>0</v>
      </c>
      <c r="I64" s="160">
        <f t="shared" si="0"/>
        <v>0</v>
      </c>
      <c r="J64" s="160"/>
      <c r="K64" s="335"/>
      <c r="L64" s="162">
        <f t="shared" si="1"/>
        <v>0</v>
      </c>
      <c r="M64" s="335"/>
      <c r="N64" s="162">
        <f t="shared" si="2"/>
        <v>0</v>
      </c>
      <c r="O64" s="162">
        <f t="shared" si="3"/>
        <v>0</v>
      </c>
      <c r="P64" s="4"/>
    </row>
    <row r="65" spans="2:16">
      <c r="B65" s="9" t="str">
        <f t="shared" si="8"/>
        <v/>
      </c>
      <c r="C65" s="157">
        <f>IF(D11="","-",+C64+1)</f>
        <v>2066</v>
      </c>
      <c r="D65" s="166">
        <f>IF(F64+SUM(E$17:E64)=D$10,F64,D$10-SUM(E$17:E64))</f>
        <v>0</v>
      </c>
      <c r="E65" s="164">
        <f t="shared" si="4"/>
        <v>0</v>
      </c>
      <c r="F65" s="163">
        <f t="shared" si="5"/>
        <v>0</v>
      </c>
      <c r="G65" s="165">
        <f t="shared" si="6"/>
        <v>0</v>
      </c>
      <c r="H65" s="147">
        <f t="shared" si="7"/>
        <v>0</v>
      </c>
      <c r="I65" s="160">
        <f t="shared" si="0"/>
        <v>0</v>
      </c>
      <c r="J65" s="160"/>
      <c r="K65" s="335"/>
      <c r="L65" s="162">
        <f t="shared" si="1"/>
        <v>0</v>
      </c>
      <c r="M65" s="335"/>
      <c r="N65" s="162">
        <f t="shared" si="2"/>
        <v>0</v>
      </c>
      <c r="O65" s="162">
        <f t="shared" si="3"/>
        <v>0</v>
      </c>
      <c r="P65" s="4"/>
    </row>
    <row r="66" spans="2:16">
      <c r="B66" s="9" t="str">
        <f t="shared" si="8"/>
        <v/>
      </c>
      <c r="C66" s="157">
        <f>IF(D11="","-",+C65+1)</f>
        <v>2067</v>
      </c>
      <c r="D66" s="166">
        <f>IF(F65+SUM(E$17:E65)=D$10,F65,D$10-SUM(E$17:E65))</f>
        <v>0</v>
      </c>
      <c r="E66" s="164">
        <f t="shared" si="4"/>
        <v>0</v>
      </c>
      <c r="F66" s="163">
        <f t="shared" si="5"/>
        <v>0</v>
      </c>
      <c r="G66" s="165">
        <f t="shared" si="6"/>
        <v>0</v>
      </c>
      <c r="H66" s="147">
        <f t="shared" si="7"/>
        <v>0</v>
      </c>
      <c r="I66" s="160">
        <f t="shared" si="0"/>
        <v>0</v>
      </c>
      <c r="J66" s="160"/>
      <c r="K66" s="335"/>
      <c r="L66" s="162">
        <f t="shared" si="1"/>
        <v>0</v>
      </c>
      <c r="M66" s="335"/>
      <c r="N66" s="162">
        <f t="shared" si="2"/>
        <v>0</v>
      </c>
      <c r="O66" s="162">
        <f t="shared" si="3"/>
        <v>0</v>
      </c>
      <c r="P66" s="4"/>
    </row>
    <row r="67" spans="2:16">
      <c r="B67" s="9" t="str">
        <f t="shared" si="8"/>
        <v/>
      </c>
      <c r="C67" s="157">
        <f>IF(D11="","-",+C66+1)</f>
        <v>2068</v>
      </c>
      <c r="D67" s="166">
        <f>IF(F66+SUM(E$17:E66)=D$10,F66,D$10-SUM(E$17:E66))</f>
        <v>0</v>
      </c>
      <c r="E67" s="164">
        <f t="shared" si="4"/>
        <v>0</v>
      </c>
      <c r="F67" s="163">
        <f t="shared" si="5"/>
        <v>0</v>
      </c>
      <c r="G67" s="165">
        <f t="shared" si="6"/>
        <v>0</v>
      </c>
      <c r="H67" s="147">
        <f t="shared" si="7"/>
        <v>0</v>
      </c>
      <c r="I67" s="160">
        <f t="shared" si="0"/>
        <v>0</v>
      </c>
      <c r="J67" s="160"/>
      <c r="K67" s="335"/>
      <c r="L67" s="162">
        <f t="shared" si="1"/>
        <v>0</v>
      </c>
      <c r="M67" s="335"/>
      <c r="N67" s="162">
        <f t="shared" si="2"/>
        <v>0</v>
      </c>
      <c r="O67" s="162">
        <f t="shared" si="3"/>
        <v>0</v>
      </c>
      <c r="P67" s="4"/>
    </row>
    <row r="68" spans="2:16">
      <c r="B68" s="9" t="str">
        <f t="shared" si="8"/>
        <v/>
      </c>
      <c r="C68" s="157">
        <f>IF(D11="","-",+C67+1)</f>
        <v>2069</v>
      </c>
      <c r="D68" s="166">
        <f>IF(F67+SUM(E$17:E67)=D$10,F67,D$10-SUM(E$17:E67))</f>
        <v>0</v>
      </c>
      <c r="E68" s="164">
        <f t="shared" si="4"/>
        <v>0</v>
      </c>
      <c r="F68" s="163">
        <f t="shared" si="5"/>
        <v>0</v>
      </c>
      <c r="G68" s="165">
        <f t="shared" si="6"/>
        <v>0</v>
      </c>
      <c r="H68" s="147">
        <f t="shared" si="7"/>
        <v>0</v>
      </c>
      <c r="I68" s="160">
        <f t="shared" si="0"/>
        <v>0</v>
      </c>
      <c r="J68" s="160"/>
      <c r="K68" s="335"/>
      <c r="L68" s="162">
        <f t="shared" si="1"/>
        <v>0</v>
      </c>
      <c r="M68" s="335"/>
      <c r="N68" s="162">
        <f t="shared" si="2"/>
        <v>0</v>
      </c>
      <c r="O68" s="162">
        <f t="shared" si="3"/>
        <v>0</v>
      </c>
      <c r="P68" s="4"/>
    </row>
    <row r="69" spans="2:16">
      <c r="B69" s="9" t="str">
        <f t="shared" si="8"/>
        <v/>
      </c>
      <c r="C69" s="157">
        <f>IF(D11="","-",+C68+1)</f>
        <v>2070</v>
      </c>
      <c r="D69" s="166">
        <f>IF(F68+SUM(E$17:E68)=D$10,F68,D$10-SUM(E$17:E68))</f>
        <v>0</v>
      </c>
      <c r="E69" s="164">
        <f t="shared" si="4"/>
        <v>0</v>
      </c>
      <c r="F69" s="163">
        <f t="shared" si="5"/>
        <v>0</v>
      </c>
      <c r="G69" s="165">
        <f t="shared" si="6"/>
        <v>0</v>
      </c>
      <c r="H69" s="147">
        <f t="shared" si="7"/>
        <v>0</v>
      </c>
      <c r="I69" s="160">
        <f t="shared" si="0"/>
        <v>0</v>
      </c>
      <c r="J69" s="160"/>
      <c r="K69" s="335"/>
      <c r="L69" s="162">
        <f t="shared" si="1"/>
        <v>0</v>
      </c>
      <c r="M69" s="335"/>
      <c r="N69" s="162">
        <f t="shared" si="2"/>
        <v>0</v>
      </c>
      <c r="O69" s="162">
        <f t="shared" si="3"/>
        <v>0</v>
      </c>
      <c r="P69" s="4"/>
    </row>
    <row r="70" spans="2:16">
      <c r="B70" s="9" t="str">
        <f t="shared" si="8"/>
        <v/>
      </c>
      <c r="C70" s="157">
        <f>IF(D11="","-",+C69+1)</f>
        <v>2071</v>
      </c>
      <c r="D70" s="166">
        <f>IF(F69+SUM(E$17:E69)=D$10,F69,D$10-SUM(E$17:E69))</f>
        <v>0</v>
      </c>
      <c r="E70" s="164">
        <f t="shared" si="4"/>
        <v>0</v>
      </c>
      <c r="F70" s="163">
        <f t="shared" si="5"/>
        <v>0</v>
      </c>
      <c r="G70" s="165">
        <f t="shared" si="6"/>
        <v>0</v>
      </c>
      <c r="H70" s="147">
        <f t="shared" si="7"/>
        <v>0</v>
      </c>
      <c r="I70" s="160">
        <f t="shared" si="0"/>
        <v>0</v>
      </c>
      <c r="J70" s="160"/>
      <c r="K70" s="335"/>
      <c r="L70" s="162">
        <f t="shared" si="1"/>
        <v>0</v>
      </c>
      <c r="M70" s="335"/>
      <c r="N70" s="162">
        <f t="shared" si="2"/>
        <v>0</v>
      </c>
      <c r="O70" s="162">
        <f t="shared" si="3"/>
        <v>0</v>
      </c>
      <c r="P70" s="4"/>
    </row>
    <row r="71" spans="2:16">
      <c r="B71" s="9" t="str">
        <f t="shared" si="8"/>
        <v/>
      </c>
      <c r="C71" s="157">
        <f>IF(D11="","-",+C70+1)</f>
        <v>2072</v>
      </c>
      <c r="D71" s="166">
        <f>IF(F70+SUM(E$17:E70)=D$10,F70,D$10-SUM(E$17:E70))</f>
        <v>0</v>
      </c>
      <c r="E71" s="164">
        <f t="shared" si="4"/>
        <v>0</v>
      </c>
      <c r="F71" s="163">
        <f t="shared" si="5"/>
        <v>0</v>
      </c>
      <c r="G71" s="165">
        <f t="shared" si="6"/>
        <v>0</v>
      </c>
      <c r="H71" s="147">
        <f t="shared" si="7"/>
        <v>0</v>
      </c>
      <c r="I71" s="160">
        <f t="shared" si="0"/>
        <v>0</v>
      </c>
      <c r="J71" s="160"/>
      <c r="K71" s="335"/>
      <c r="L71" s="162">
        <f t="shared" si="1"/>
        <v>0</v>
      </c>
      <c r="M71" s="335"/>
      <c r="N71" s="162">
        <f t="shared" si="2"/>
        <v>0</v>
      </c>
      <c r="O71" s="162">
        <f t="shared" si="3"/>
        <v>0</v>
      </c>
      <c r="P71" s="4"/>
    </row>
    <row r="72" spans="2:16" ht="13.5" thickBot="1">
      <c r="B72" s="9" t="str">
        <f t="shared" si="8"/>
        <v/>
      </c>
      <c r="C72" s="168">
        <f>IF(D11="","-",+C71+1)</f>
        <v>2073</v>
      </c>
      <c r="D72" s="462">
        <f>IF(F71+SUM(E$17:E71)=D$10,F71,D$10-SUM(E$17:E71))</f>
        <v>0</v>
      </c>
      <c r="E72" s="170">
        <f t="shared" si="4"/>
        <v>0</v>
      </c>
      <c r="F72" s="169">
        <f t="shared" si="5"/>
        <v>0</v>
      </c>
      <c r="G72" s="377">
        <f t="shared" si="6"/>
        <v>0</v>
      </c>
      <c r="H72" s="130">
        <f t="shared" si="7"/>
        <v>0</v>
      </c>
      <c r="I72" s="172">
        <f t="shared" si="0"/>
        <v>0</v>
      </c>
      <c r="J72" s="160"/>
      <c r="K72" s="336"/>
      <c r="L72" s="173">
        <f t="shared" si="1"/>
        <v>0</v>
      </c>
      <c r="M72" s="336"/>
      <c r="N72" s="173">
        <f t="shared" si="2"/>
        <v>0</v>
      </c>
      <c r="O72" s="173">
        <f t="shared" si="3"/>
        <v>0</v>
      </c>
      <c r="P72" s="4"/>
    </row>
    <row r="73" spans="2:16">
      <c r="C73" s="158" t="s">
        <v>72</v>
      </c>
      <c r="D73" s="115"/>
      <c r="E73" s="115">
        <f>SUM(E17:E72)</f>
        <v>244000</v>
      </c>
      <c r="F73" s="115"/>
      <c r="G73" s="115">
        <f>SUM(G17:G72)</f>
        <v>809827.73382265388</v>
      </c>
      <c r="H73" s="115">
        <f>SUM(H17:H72)</f>
        <v>809827.73382265388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22 of 28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2018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19038.576480221469</v>
      </c>
      <c r="N87" s="202">
        <f>IF(J92&lt;D11,0,VLOOKUP(J92,C17:O72,11))</f>
        <v>19038.576480221469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12533.739152883993</v>
      </c>
      <c r="N88" s="204">
        <f>IF(J92&lt;D11,0,VLOOKUP(J92,C99:P154,7))</f>
        <v>12533.739152883993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Northeastern Station 138 kV Terminal Upgrades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-6504.8373273374764</v>
      </c>
      <c r="N89" s="207">
        <f>+N88-N87</f>
        <v>-6504.8373273374764</v>
      </c>
      <c r="O89" s="208">
        <f>+O88-O87</f>
        <v>0</v>
      </c>
      <c r="P89" s="1"/>
    </row>
    <row r="90" spans="1:16" ht="13.5" thickBot="1">
      <c r="C90" s="174"/>
      <c r="D90" s="177" t="str">
        <f>D8</f>
        <v/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>
        <f>+D9</f>
        <v>0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222">
        <f>IF(D11=I10,0,D10)</f>
        <v>244000</v>
      </c>
      <c r="E92" s="22" t="s">
        <v>89</v>
      </c>
      <c r="H92" s="139"/>
      <c r="I92" s="139"/>
      <c r="J92" s="140">
        <f>+'PSO.WS.G.BPU.ATRR.True-up'!M16</f>
        <v>2018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2018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6</v>
      </c>
      <c r="E94" s="141" t="s">
        <v>51</v>
      </c>
      <c r="F94" s="139"/>
      <c r="G94" s="139"/>
      <c r="J94" s="145">
        <f>'PSO.WS.G.BPU.ATRR.True-up'!$F$81</f>
        <v>0.10273556682691798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43</v>
      </c>
      <c r="E95" s="141" t="s">
        <v>54</v>
      </c>
      <c r="F95" s="139"/>
      <c r="G95" s="139"/>
      <c r="J95" s="145">
        <f>IF(H87="",J94,'PSO.WS.G.BPU.ATRR.True-up'!$F$80)</f>
        <v>0.10273556682691798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5674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277</v>
      </c>
      <c r="I97" s="339" t="s">
        <v>278</v>
      </c>
      <c r="J97" s="214" t="s">
        <v>93</v>
      </c>
      <c r="K97" s="216"/>
      <c r="L97" s="151" t="s">
        <v>97</v>
      </c>
      <c r="M97" s="151" t="s">
        <v>94</v>
      </c>
      <c r="N97" s="151" t="s">
        <v>97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2018</v>
      </c>
      <c r="D99" s="158">
        <v>0</v>
      </c>
      <c r="E99" s="165">
        <v>0</v>
      </c>
      <c r="F99" s="163">
        <v>244000</v>
      </c>
      <c r="G99" s="218">
        <v>122000</v>
      </c>
      <c r="H99" s="218">
        <v>12533.739152883993</v>
      </c>
      <c r="I99" s="218">
        <v>12533.739152883993</v>
      </c>
      <c r="J99" s="162">
        <f t="shared" ref="J99:J130" si="9">+I99-H99</f>
        <v>0</v>
      </c>
      <c r="K99" s="162"/>
      <c r="L99" s="334"/>
      <c r="M99" s="161">
        <f t="shared" ref="M99:M130" si="10">IF(L99&lt;&gt;0,+H99-L99,0)</f>
        <v>0</v>
      </c>
      <c r="N99" s="334"/>
      <c r="O99" s="161">
        <f t="shared" ref="O99:O130" si="11">IF(N99&lt;&gt;0,+I99-N99,0)</f>
        <v>0</v>
      </c>
      <c r="P99" s="161">
        <f t="shared" ref="P99:P130" si="12">+O99-M99</f>
        <v>0</v>
      </c>
    </row>
    <row r="100" spans="1:16">
      <c r="B100" s="9" t="str">
        <f>IF(D100=F99,"","IU")</f>
        <v/>
      </c>
      <c r="C100" s="157">
        <f>IF(D93="","-",+C99+1)</f>
        <v>2019</v>
      </c>
      <c r="D100" s="158">
        <f>IF(F99+SUM(E$99:E99)=D$92,F99,D$92-SUM(E$99:E99))</f>
        <v>244000</v>
      </c>
      <c r="E100" s="164">
        <f>IF(+J$96&lt;F99,J$96,D100)</f>
        <v>5674</v>
      </c>
      <c r="F100" s="163">
        <f>+D100-E100</f>
        <v>238326</v>
      </c>
      <c r="G100" s="163">
        <f>+(F100+D100)/2</f>
        <v>241163</v>
      </c>
      <c r="H100" s="333">
        <f t="shared" ref="H100:H154" si="13">+J$94*G100+E100</f>
        <v>30450.017502680021</v>
      </c>
      <c r="I100" s="344">
        <f t="shared" ref="I100:I154" si="14">+J$95*G100+E100</f>
        <v>30450.017502680021</v>
      </c>
      <c r="J100" s="162">
        <f t="shared" si="9"/>
        <v>0</v>
      </c>
      <c r="K100" s="162"/>
      <c r="L100" s="335"/>
      <c r="M100" s="162">
        <f t="shared" si="10"/>
        <v>0</v>
      </c>
      <c r="N100" s="335"/>
      <c r="O100" s="162">
        <f t="shared" si="11"/>
        <v>0</v>
      </c>
      <c r="P100" s="162">
        <f t="shared" si="12"/>
        <v>0</v>
      </c>
    </row>
    <row r="101" spans="1:16">
      <c r="B101" s="9" t="str">
        <f t="shared" ref="B101:B154" si="15">IF(D101=F100,"","IU")</f>
        <v/>
      </c>
      <c r="C101" s="157">
        <f>IF(D93="","-",+C100+1)</f>
        <v>2020</v>
      </c>
      <c r="D101" s="158">
        <f>IF(F100+SUM(E$99:E100)=D$92,F100,D$92-SUM(E$99:E100))</f>
        <v>238326</v>
      </c>
      <c r="E101" s="164">
        <f t="shared" ref="E101:E154" si="16">IF(+J$96&lt;F100,J$96,D101)</f>
        <v>5674</v>
      </c>
      <c r="F101" s="163">
        <f t="shared" ref="F101:F154" si="17">+D101-E101</f>
        <v>232652</v>
      </c>
      <c r="G101" s="163">
        <f t="shared" ref="G101:G154" si="18">+(F101+D101)/2</f>
        <v>235489</v>
      </c>
      <c r="H101" s="333">
        <f t="shared" si="13"/>
        <v>29867.095896504088</v>
      </c>
      <c r="I101" s="344">
        <f t="shared" si="14"/>
        <v>29867.095896504088</v>
      </c>
      <c r="J101" s="162">
        <f t="shared" si="9"/>
        <v>0</v>
      </c>
      <c r="K101" s="162"/>
      <c r="L101" s="335"/>
      <c r="M101" s="162">
        <f t="shared" si="10"/>
        <v>0</v>
      </c>
      <c r="N101" s="335"/>
      <c r="O101" s="162">
        <f t="shared" si="11"/>
        <v>0</v>
      </c>
      <c r="P101" s="162">
        <f t="shared" si="12"/>
        <v>0</v>
      </c>
    </row>
    <row r="102" spans="1:16">
      <c r="B102" s="9" t="str">
        <f t="shared" si="15"/>
        <v/>
      </c>
      <c r="C102" s="157">
        <f>IF(D93="","-",+C101+1)</f>
        <v>2021</v>
      </c>
      <c r="D102" s="158">
        <f>IF(F101+SUM(E$99:E101)=D$92,F101,D$92-SUM(E$99:E101))</f>
        <v>232652</v>
      </c>
      <c r="E102" s="164">
        <f t="shared" si="16"/>
        <v>5674</v>
      </c>
      <c r="F102" s="163">
        <f t="shared" si="17"/>
        <v>226978</v>
      </c>
      <c r="G102" s="163">
        <f t="shared" si="18"/>
        <v>229815</v>
      </c>
      <c r="H102" s="333">
        <f t="shared" si="13"/>
        <v>29284.174290328156</v>
      </c>
      <c r="I102" s="344">
        <f t="shared" si="14"/>
        <v>29284.174290328156</v>
      </c>
      <c r="J102" s="162">
        <f t="shared" si="9"/>
        <v>0</v>
      </c>
      <c r="K102" s="162"/>
      <c r="L102" s="335"/>
      <c r="M102" s="162">
        <f t="shared" si="10"/>
        <v>0</v>
      </c>
      <c r="N102" s="335"/>
      <c r="O102" s="162">
        <f t="shared" si="11"/>
        <v>0</v>
      </c>
      <c r="P102" s="162">
        <f t="shared" si="12"/>
        <v>0</v>
      </c>
    </row>
    <row r="103" spans="1:16">
      <c r="B103" s="9" t="str">
        <f t="shared" si="15"/>
        <v/>
      </c>
      <c r="C103" s="157">
        <f>IF(D93="","-",+C102+1)</f>
        <v>2022</v>
      </c>
      <c r="D103" s="158">
        <f>IF(F102+SUM(E$99:E102)=D$92,F102,D$92-SUM(E$99:E102))</f>
        <v>226978</v>
      </c>
      <c r="E103" s="164">
        <f t="shared" si="16"/>
        <v>5674</v>
      </c>
      <c r="F103" s="163">
        <f t="shared" si="17"/>
        <v>221304</v>
      </c>
      <c r="G103" s="163">
        <f t="shared" si="18"/>
        <v>224141</v>
      </c>
      <c r="H103" s="333">
        <f t="shared" si="13"/>
        <v>28701.252684152223</v>
      </c>
      <c r="I103" s="344">
        <f t="shared" si="14"/>
        <v>28701.252684152223</v>
      </c>
      <c r="J103" s="162">
        <f t="shared" si="9"/>
        <v>0</v>
      </c>
      <c r="K103" s="162"/>
      <c r="L103" s="335"/>
      <c r="M103" s="162">
        <f t="shared" si="10"/>
        <v>0</v>
      </c>
      <c r="N103" s="335"/>
      <c r="O103" s="162">
        <f t="shared" si="11"/>
        <v>0</v>
      </c>
      <c r="P103" s="162">
        <f t="shared" si="12"/>
        <v>0</v>
      </c>
    </row>
    <row r="104" spans="1:16">
      <c r="B104" s="9" t="str">
        <f t="shared" si="15"/>
        <v/>
      </c>
      <c r="C104" s="157">
        <f>IF(D93="","-",+C103+1)</f>
        <v>2023</v>
      </c>
      <c r="D104" s="158">
        <f>IF(F103+SUM(E$99:E103)=D$92,F103,D$92-SUM(E$99:E103))</f>
        <v>221304</v>
      </c>
      <c r="E104" s="164">
        <f t="shared" si="16"/>
        <v>5674</v>
      </c>
      <c r="F104" s="163">
        <f t="shared" si="17"/>
        <v>215630</v>
      </c>
      <c r="G104" s="163">
        <f t="shared" si="18"/>
        <v>218467</v>
      </c>
      <c r="H104" s="333">
        <f t="shared" si="13"/>
        <v>28118.331077976291</v>
      </c>
      <c r="I104" s="344">
        <f t="shared" si="14"/>
        <v>28118.331077976291</v>
      </c>
      <c r="J104" s="162">
        <f t="shared" si="9"/>
        <v>0</v>
      </c>
      <c r="K104" s="162"/>
      <c r="L104" s="335"/>
      <c r="M104" s="162">
        <f t="shared" si="10"/>
        <v>0</v>
      </c>
      <c r="N104" s="335"/>
      <c r="O104" s="162">
        <f t="shared" si="11"/>
        <v>0</v>
      </c>
      <c r="P104" s="162">
        <f t="shared" si="12"/>
        <v>0</v>
      </c>
    </row>
    <row r="105" spans="1:16">
      <c r="B105" s="9" t="str">
        <f t="shared" si="15"/>
        <v/>
      </c>
      <c r="C105" s="157">
        <f>IF(D93="","-",+C104+1)</f>
        <v>2024</v>
      </c>
      <c r="D105" s="158">
        <f>IF(F104+SUM(E$99:E104)=D$92,F104,D$92-SUM(E$99:E104))</f>
        <v>215630</v>
      </c>
      <c r="E105" s="164">
        <f t="shared" si="16"/>
        <v>5674</v>
      </c>
      <c r="F105" s="163">
        <f t="shared" si="17"/>
        <v>209956</v>
      </c>
      <c r="G105" s="163">
        <f t="shared" si="18"/>
        <v>212793</v>
      </c>
      <c r="H105" s="333">
        <f t="shared" si="13"/>
        <v>27535.409471800358</v>
      </c>
      <c r="I105" s="344">
        <f t="shared" si="14"/>
        <v>27535.409471800358</v>
      </c>
      <c r="J105" s="162">
        <f t="shared" si="9"/>
        <v>0</v>
      </c>
      <c r="K105" s="162"/>
      <c r="L105" s="335"/>
      <c r="M105" s="162">
        <f t="shared" si="10"/>
        <v>0</v>
      </c>
      <c r="N105" s="335"/>
      <c r="O105" s="162">
        <f t="shared" si="11"/>
        <v>0</v>
      </c>
      <c r="P105" s="162">
        <f t="shared" si="12"/>
        <v>0</v>
      </c>
    </row>
    <row r="106" spans="1:16">
      <c r="B106" s="9" t="str">
        <f t="shared" si="15"/>
        <v/>
      </c>
      <c r="C106" s="157">
        <f>IF(D93="","-",+C105+1)</f>
        <v>2025</v>
      </c>
      <c r="D106" s="158">
        <f>IF(F105+SUM(E$99:E105)=D$92,F105,D$92-SUM(E$99:E105))</f>
        <v>209956</v>
      </c>
      <c r="E106" s="164">
        <f t="shared" si="16"/>
        <v>5674</v>
      </c>
      <c r="F106" s="163">
        <f t="shared" si="17"/>
        <v>204282</v>
      </c>
      <c r="G106" s="163">
        <f t="shared" si="18"/>
        <v>207119</v>
      </c>
      <c r="H106" s="333">
        <f t="shared" si="13"/>
        <v>26952.487865624425</v>
      </c>
      <c r="I106" s="344">
        <f t="shared" si="14"/>
        <v>26952.487865624425</v>
      </c>
      <c r="J106" s="162">
        <f t="shared" si="9"/>
        <v>0</v>
      </c>
      <c r="K106" s="162"/>
      <c r="L106" s="335"/>
      <c r="M106" s="162">
        <f t="shared" si="10"/>
        <v>0</v>
      </c>
      <c r="N106" s="335"/>
      <c r="O106" s="162">
        <f t="shared" si="11"/>
        <v>0</v>
      </c>
      <c r="P106" s="162">
        <f t="shared" si="12"/>
        <v>0</v>
      </c>
    </row>
    <row r="107" spans="1:16">
      <c r="B107" s="9" t="str">
        <f t="shared" si="15"/>
        <v/>
      </c>
      <c r="C107" s="157">
        <f>IF(D93="","-",+C106+1)</f>
        <v>2026</v>
      </c>
      <c r="D107" s="158">
        <f>IF(F106+SUM(E$99:E106)=D$92,F106,D$92-SUM(E$99:E106))</f>
        <v>204282</v>
      </c>
      <c r="E107" s="164">
        <f t="shared" si="16"/>
        <v>5674</v>
      </c>
      <c r="F107" s="163">
        <f t="shared" si="17"/>
        <v>198608</v>
      </c>
      <c r="G107" s="163">
        <f t="shared" si="18"/>
        <v>201445</v>
      </c>
      <c r="H107" s="333">
        <f t="shared" si="13"/>
        <v>26369.566259448493</v>
      </c>
      <c r="I107" s="344">
        <f t="shared" si="14"/>
        <v>26369.566259448493</v>
      </c>
      <c r="J107" s="162">
        <f t="shared" si="9"/>
        <v>0</v>
      </c>
      <c r="K107" s="162"/>
      <c r="L107" s="335"/>
      <c r="M107" s="162">
        <f t="shared" si="10"/>
        <v>0</v>
      </c>
      <c r="N107" s="335"/>
      <c r="O107" s="162">
        <f t="shared" si="11"/>
        <v>0</v>
      </c>
      <c r="P107" s="162">
        <f t="shared" si="12"/>
        <v>0</v>
      </c>
    </row>
    <row r="108" spans="1:16">
      <c r="B108" s="9" t="str">
        <f t="shared" si="15"/>
        <v/>
      </c>
      <c r="C108" s="157">
        <f>IF(D93="","-",+C107+1)</f>
        <v>2027</v>
      </c>
      <c r="D108" s="158">
        <f>IF(F107+SUM(E$99:E107)=D$92,F107,D$92-SUM(E$99:E107))</f>
        <v>198608</v>
      </c>
      <c r="E108" s="164">
        <f t="shared" si="16"/>
        <v>5674</v>
      </c>
      <c r="F108" s="163">
        <f t="shared" si="17"/>
        <v>192934</v>
      </c>
      <c r="G108" s="163">
        <f t="shared" si="18"/>
        <v>195771</v>
      </c>
      <c r="H108" s="333">
        <f t="shared" si="13"/>
        <v>25786.64465327256</v>
      </c>
      <c r="I108" s="344">
        <f t="shared" si="14"/>
        <v>25786.64465327256</v>
      </c>
      <c r="J108" s="162">
        <f t="shared" si="9"/>
        <v>0</v>
      </c>
      <c r="K108" s="162"/>
      <c r="L108" s="335"/>
      <c r="M108" s="162">
        <f t="shared" si="10"/>
        <v>0</v>
      </c>
      <c r="N108" s="335"/>
      <c r="O108" s="162">
        <f t="shared" si="11"/>
        <v>0</v>
      </c>
      <c r="P108" s="162">
        <f t="shared" si="12"/>
        <v>0</v>
      </c>
    </row>
    <row r="109" spans="1:16">
      <c r="B109" s="9" t="str">
        <f t="shared" si="15"/>
        <v/>
      </c>
      <c r="C109" s="157">
        <f>IF(D93="","-",+C108+1)</f>
        <v>2028</v>
      </c>
      <c r="D109" s="158">
        <f>IF(F108+SUM(E$99:E108)=D$92,F108,D$92-SUM(E$99:E108))</f>
        <v>192934</v>
      </c>
      <c r="E109" s="164">
        <f t="shared" si="16"/>
        <v>5674</v>
      </c>
      <c r="F109" s="163">
        <f t="shared" si="17"/>
        <v>187260</v>
      </c>
      <c r="G109" s="163">
        <f t="shared" si="18"/>
        <v>190097</v>
      </c>
      <c r="H109" s="333">
        <f t="shared" si="13"/>
        <v>25203.723047096628</v>
      </c>
      <c r="I109" s="344">
        <f t="shared" si="14"/>
        <v>25203.723047096628</v>
      </c>
      <c r="J109" s="162">
        <f t="shared" si="9"/>
        <v>0</v>
      </c>
      <c r="K109" s="162"/>
      <c r="L109" s="335"/>
      <c r="M109" s="162">
        <f t="shared" si="10"/>
        <v>0</v>
      </c>
      <c r="N109" s="335"/>
      <c r="O109" s="162">
        <f t="shared" si="11"/>
        <v>0</v>
      </c>
      <c r="P109" s="162">
        <f t="shared" si="12"/>
        <v>0</v>
      </c>
    </row>
    <row r="110" spans="1:16">
      <c r="B110" s="9" t="str">
        <f t="shared" si="15"/>
        <v/>
      </c>
      <c r="C110" s="157">
        <f>IF(D93="","-",+C109+1)</f>
        <v>2029</v>
      </c>
      <c r="D110" s="158">
        <f>IF(F109+SUM(E$99:E109)=D$92,F109,D$92-SUM(E$99:E109))</f>
        <v>187260</v>
      </c>
      <c r="E110" s="164">
        <f t="shared" si="16"/>
        <v>5674</v>
      </c>
      <c r="F110" s="163">
        <f t="shared" si="17"/>
        <v>181586</v>
      </c>
      <c r="G110" s="163">
        <f t="shared" si="18"/>
        <v>184423</v>
      </c>
      <c r="H110" s="333">
        <f t="shared" si="13"/>
        <v>24620.801440920695</v>
      </c>
      <c r="I110" s="344">
        <f t="shared" si="14"/>
        <v>24620.801440920695</v>
      </c>
      <c r="J110" s="162">
        <f t="shared" si="9"/>
        <v>0</v>
      </c>
      <c r="K110" s="162"/>
      <c r="L110" s="335"/>
      <c r="M110" s="162">
        <f t="shared" si="10"/>
        <v>0</v>
      </c>
      <c r="N110" s="335"/>
      <c r="O110" s="162">
        <f t="shared" si="11"/>
        <v>0</v>
      </c>
      <c r="P110" s="162">
        <f t="shared" si="12"/>
        <v>0</v>
      </c>
    </row>
    <row r="111" spans="1:16">
      <c r="B111" s="9" t="str">
        <f t="shared" si="15"/>
        <v/>
      </c>
      <c r="C111" s="157">
        <f>IF(D93="","-",+C110+1)</f>
        <v>2030</v>
      </c>
      <c r="D111" s="158">
        <f>IF(F110+SUM(E$99:E110)=D$92,F110,D$92-SUM(E$99:E110))</f>
        <v>181586</v>
      </c>
      <c r="E111" s="164">
        <f t="shared" si="16"/>
        <v>5674</v>
      </c>
      <c r="F111" s="163">
        <f t="shared" si="17"/>
        <v>175912</v>
      </c>
      <c r="G111" s="163">
        <f t="shared" si="18"/>
        <v>178749</v>
      </c>
      <c r="H111" s="333">
        <f t="shared" si="13"/>
        <v>24037.879834744763</v>
      </c>
      <c r="I111" s="344">
        <f t="shared" si="14"/>
        <v>24037.879834744763</v>
      </c>
      <c r="J111" s="162">
        <f t="shared" si="9"/>
        <v>0</v>
      </c>
      <c r="K111" s="162"/>
      <c r="L111" s="335"/>
      <c r="M111" s="162">
        <f t="shared" si="10"/>
        <v>0</v>
      </c>
      <c r="N111" s="335"/>
      <c r="O111" s="162">
        <f t="shared" si="11"/>
        <v>0</v>
      </c>
      <c r="P111" s="162">
        <f t="shared" si="12"/>
        <v>0</v>
      </c>
    </row>
    <row r="112" spans="1:16">
      <c r="B112" s="9" t="str">
        <f t="shared" si="15"/>
        <v/>
      </c>
      <c r="C112" s="157">
        <f>IF(D93="","-",+C111+1)</f>
        <v>2031</v>
      </c>
      <c r="D112" s="158">
        <f>IF(F111+SUM(E$99:E111)=D$92,F111,D$92-SUM(E$99:E111))</f>
        <v>175912</v>
      </c>
      <c r="E112" s="164">
        <f t="shared" si="16"/>
        <v>5674</v>
      </c>
      <c r="F112" s="163">
        <f t="shared" si="17"/>
        <v>170238</v>
      </c>
      <c r="G112" s="163">
        <f t="shared" si="18"/>
        <v>173075</v>
      </c>
      <c r="H112" s="333">
        <f t="shared" si="13"/>
        <v>23454.95822856883</v>
      </c>
      <c r="I112" s="344">
        <f t="shared" si="14"/>
        <v>23454.95822856883</v>
      </c>
      <c r="J112" s="162">
        <f t="shared" si="9"/>
        <v>0</v>
      </c>
      <c r="K112" s="162"/>
      <c r="L112" s="335"/>
      <c r="M112" s="162">
        <f t="shared" si="10"/>
        <v>0</v>
      </c>
      <c r="N112" s="335"/>
      <c r="O112" s="162">
        <f t="shared" si="11"/>
        <v>0</v>
      </c>
      <c r="P112" s="162">
        <f t="shared" si="12"/>
        <v>0</v>
      </c>
    </row>
    <row r="113" spans="2:16">
      <c r="B113" s="9" t="str">
        <f t="shared" si="15"/>
        <v/>
      </c>
      <c r="C113" s="157">
        <f>IF(D93="","-",+C112+1)</f>
        <v>2032</v>
      </c>
      <c r="D113" s="158">
        <f>IF(F112+SUM(E$99:E112)=D$92,F112,D$92-SUM(E$99:E112))</f>
        <v>170238</v>
      </c>
      <c r="E113" s="164">
        <f t="shared" si="16"/>
        <v>5674</v>
      </c>
      <c r="F113" s="163">
        <f t="shared" si="17"/>
        <v>164564</v>
      </c>
      <c r="G113" s="163">
        <f t="shared" si="18"/>
        <v>167401</v>
      </c>
      <c r="H113" s="333">
        <f t="shared" si="13"/>
        <v>22872.036622392898</v>
      </c>
      <c r="I113" s="344">
        <f t="shared" si="14"/>
        <v>22872.036622392898</v>
      </c>
      <c r="J113" s="162">
        <f t="shared" si="9"/>
        <v>0</v>
      </c>
      <c r="K113" s="162"/>
      <c r="L113" s="335"/>
      <c r="M113" s="162">
        <f t="shared" si="10"/>
        <v>0</v>
      </c>
      <c r="N113" s="335"/>
      <c r="O113" s="162">
        <f t="shared" si="11"/>
        <v>0</v>
      </c>
      <c r="P113" s="162">
        <f t="shared" si="12"/>
        <v>0</v>
      </c>
    </row>
    <row r="114" spans="2:16">
      <c r="B114" s="9" t="str">
        <f t="shared" si="15"/>
        <v/>
      </c>
      <c r="C114" s="157">
        <f>IF(D93="","-",+C113+1)</f>
        <v>2033</v>
      </c>
      <c r="D114" s="158">
        <f>IF(F113+SUM(E$99:E113)=D$92,F113,D$92-SUM(E$99:E113))</f>
        <v>164564</v>
      </c>
      <c r="E114" s="164">
        <f t="shared" si="16"/>
        <v>5674</v>
      </c>
      <c r="F114" s="163">
        <f t="shared" si="17"/>
        <v>158890</v>
      </c>
      <c r="G114" s="163">
        <f t="shared" si="18"/>
        <v>161727</v>
      </c>
      <c r="H114" s="333">
        <f t="shared" si="13"/>
        <v>22289.115016216965</v>
      </c>
      <c r="I114" s="344">
        <f t="shared" si="14"/>
        <v>22289.115016216965</v>
      </c>
      <c r="J114" s="162">
        <f t="shared" si="9"/>
        <v>0</v>
      </c>
      <c r="K114" s="162"/>
      <c r="L114" s="335"/>
      <c r="M114" s="162">
        <f t="shared" si="10"/>
        <v>0</v>
      </c>
      <c r="N114" s="335"/>
      <c r="O114" s="162">
        <f t="shared" si="11"/>
        <v>0</v>
      </c>
      <c r="P114" s="162">
        <f t="shared" si="12"/>
        <v>0</v>
      </c>
    </row>
    <row r="115" spans="2:16">
      <c r="B115" s="9" t="str">
        <f t="shared" si="15"/>
        <v/>
      </c>
      <c r="C115" s="157">
        <f>IF(D93="","-",+C114+1)</f>
        <v>2034</v>
      </c>
      <c r="D115" s="158">
        <f>IF(F114+SUM(E$99:E114)=D$92,F114,D$92-SUM(E$99:E114))</f>
        <v>158890</v>
      </c>
      <c r="E115" s="164">
        <f t="shared" si="16"/>
        <v>5674</v>
      </c>
      <c r="F115" s="163">
        <f t="shared" si="17"/>
        <v>153216</v>
      </c>
      <c r="G115" s="163">
        <f t="shared" si="18"/>
        <v>156053</v>
      </c>
      <c r="H115" s="333">
        <f t="shared" si="13"/>
        <v>21706.193410041029</v>
      </c>
      <c r="I115" s="344">
        <f t="shared" si="14"/>
        <v>21706.193410041029</v>
      </c>
      <c r="J115" s="162">
        <f t="shared" si="9"/>
        <v>0</v>
      </c>
      <c r="K115" s="162"/>
      <c r="L115" s="335"/>
      <c r="M115" s="162">
        <f t="shared" si="10"/>
        <v>0</v>
      </c>
      <c r="N115" s="335"/>
      <c r="O115" s="162">
        <f t="shared" si="11"/>
        <v>0</v>
      </c>
      <c r="P115" s="162">
        <f t="shared" si="12"/>
        <v>0</v>
      </c>
    </row>
    <row r="116" spans="2:16">
      <c r="B116" s="9" t="str">
        <f t="shared" si="15"/>
        <v/>
      </c>
      <c r="C116" s="157">
        <f>IF(D93="","-",+C115+1)</f>
        <v>2035</v>
      </c>
      <c r="D116" s="158">
        <f>IF(F115+SUM(E$99:E115)=D$92,F115,D$92-SUM(E$99:E115))</f>
        <v>153216</v>
      </c>
      <c r="E116" s="164">
        <f t="shared" si="16"/>
        <v>5674</v>
      </c>
      <c r="F116" s="163">
        <f t="shared" si="17"/>
        <v>147542</v>
      </c>
      <c r="G116" s="163">
        <f t="shared" si="18"/>
        <v>150379</v>
      </c>
      <c r="H116" s="333">
        <f t="shared" si="13"/>
        <v>21123.2718038651</v>
      </c>
      <c r="I116" s="344">
        <f t="shared" si="14"/>
        <v>21123.2718038651</v>
      </c>
      <c r="J116" s="162">
        <f t="shared" si="9"/>
        <v>0</v>
      </c>
      <c r="K116" s="162"/>
      <c r="L116" s="335"/>
      <c r="M116" s="162">
        <f t="shared" si="10"/>
        <v>0</v>
      </c>
      <c r="N116" s="335"/>
      <c r="O116" s="162">
        <f t="shared" si="11"/>
        <v>0</v>
      </c>
      <c r="P116" s="162">
        <f t="shared" si="12"/>
        <v>0</v>
      </c>
    </row>
    <row r="117" spans="2:16">
      <c r="B117" s="9" t="str">
        <f t="shared" si="15"/>
        <v/>
      </c>
      <c r="C117" s="157">
        <f>IF(D93="","-",+C116+1)</f>
        <v>2036</v>
      </c>
      <c r="D117" s="158">
        <f>IF(F116+SUM(E$99:E116)=D$92,F116,D$92-SUM(E$99:E116))</f>
        <v>147542</v>
      </c>
      <c r="E117" s="164">
        <f t="shared" si="16"/>
        <v>5674</v>
      </c>
      <c r="F117" s="163">
        <f t="shared" si="17"/>
        <v>141868</v>
      </c>
      <c r="G117" s="163">
        <f t="shared" si="18"/>
        <v>144705</v>
      </c>
      <c r="H117" s="333">
        <f t="shared" si="13"/>
        <v>20540.350197689164</v>
      </c>
      <c r="I117" s="344">
        <f t="shared" si="14"/>
        <v>20540.350197689164</v>
      </c>
      <c r="J117" s="162">
        <f t="shared" si="9"/>
        <v>0</v>
      </c>
      <c r="K117" s="162"/>
      <c r="L117" s="335"/>
      <c r="M117" s="162">
        <f t="shared" si="10"/>
        <v>0</v>
      </c>
      <c r="N117" s="335"/>
      <c r="O117" s="162">
        <f t="shared" si="11"/>
        <v>0</v>
      </c>
      <c r="P117" s="162">
        <f t="shared" si="12"/>
        <v>0</v>
      </c>
    </row>
    <row r="118" spans="2:16">
      <c r="B118" s="9" t="str">
        <f t="shared" si="15"/>
        <v/>
      </c>
      <c r="C118" s="157">
        <f>IF(D93="","-",+C117+1)</f>
        <v>2037</v>
      </c>
      <c r="D118" s="158">
        <f>IF(F117+SUM(E$99:E117)=D$92,F117,D$92-SUM(E$99:E117))</f>
        <v>141868</v>
      </c>
      <c r="E118" s="164">
        <f t="shared" si="16"/>
        <v>5674</v>
      </c>
      <c r="F118" s="163">
        <f t="shared" si="17"/>
        <v>136194</v>
      </c>
      <c r="G118" s="163">
        <f t="shared" si="18"/>
        <v>139031</v>
      </c>
      <c r="H118" s="333">
        <f t="shared" si="13"/>
        <v>19957.428591513235</v>
      </c>
      <c r="I118" s="344">
        <f t="shared" si="14"/>
        <v>19957.428591513235</v>
      </c>
      <c r="J118" s="162">
        <f t="shared" si="9"/>
        <v>0</v>
      </c>
      <c r="K118" s="162"/>
      <c r="L118" s="335"/>
      <c r="M118" s="162">
        <f t="shared" si="10"/>
        <v>0</v>
      </c>
      <c r="N118" s="335"/>
      <c r="O118" s="162">
        <f t="shared" si="11"/>
        <v>0</v>
      </c>
      <c r="P118" s="162">
        <f t="shared" si="12"/>
        <v>0</v>
      </c>
    </row>
    <row r="119" spans="2:16">
      <c r="B119" s="9" t="str">
        <f t="shared" si="15"/>
        <v/>
      </c>
      <c r="C119" s="157">
        <f>IF(D93="","-",+C118+1)</f>
        <v>2038</v>
      </c>
      <c r="D119" s="158">
        <f>IF(F118+SUM(E$99:E118)=D$92,F118,D$92-SUM(E$99:E118))</f>
        <v>136194</v>
      </c>
      <c r="E119" s="164">
        <f t="shared" si="16"/>
        <v>5674</v>
      </c>
      <c r="F119" s="163">
        <f t="shared" si="17"/>
        <v>130520</v>
      </c>
      <c r="G119" s="163">
        <f t="shared" si="18"/>
        <v>133357</v>
      </c>
      <c r="H119" s="333">
        <f t="shared" si="13"/>
        <v>19374.506985337299</v>
      </c>
      <c r="I119" s="344">
        <f t="shared" si="14"/>
        <v>19374.506985337299</v>
      </c>
      <c r="J119" s="162">
        <f t="shared" si="9"/>
        <v>0</v>
      </c>
      <c r="K119" s="162"/>
      <c r="L119" s="335"/>
      <c r="M119" s="162">
        <f t="shared" si="10"/>
        <v>0</v>
      </c>
      <c r="N119" s="335"/>
      <c r="O119" s="162">
        <f t="shared" si="11"/>
        <v>0</v>
      </c>
      <c r="P119" s="162">
        <f t="shared" si="12"/>
        <v>0</v>
      </c>
    </row>
    <row r="120" spans="2:16">
      <c r="B120" s="9" t="str">
        <f t="shared" si="15"/>
        <v/>
      </c>
      <c r="C120" s="157">
        <f>IF(D93="","-",+C119+1)</f>
        <v>2039</v>
      </c>
      <c r="D120" s="158">
        <f>IF(F119+SUM(E$99:E119)=D$92,F119,D$92-SUM(E$99:E119))</f>
        <v>130520</v>
      </c>
      <c r="E120" s="164">
        <f t="shared" si="16"/>
        <v>5674</v>
      </c>
      <c r="F120" s="163">
        <f t="shared" si="17"/>
        <v>124846</v>
      </c>
      <c r="G120" s="163">
        <f t="shared" si="18"/>
        <v>127683</v>
      </c>
      <c r="H120" s="333">
        <f t="shared" si="13"/>
        <v>18791.58537916137</v>
      </c>
      <c r="I120" s="344">
        <f t="shared" si="14"/>
        <v>18791.58537916137</v>
      </c>
      <c r="J120" s="162">
        <f t="shared" si="9"/>
        <v>0</v>
      </c>
      <c r="K120" s="162"/>
      <c r="L120" s="335"/>
      <c r="M120" s="162">
        <f t="shared" si="10"/>
        <v>0</v>
      </c>
      <c r="N120" s="335"/>
      <c r="O120" s="162">
        <f t="shared" si="11"/>
        <v>0</v>
      </c>
      <c r="P120" s="162">
        <f t="shared" si="12"/>
        <v>0</v>
      </c>
    </row>
    <row r="121" spans="2:16">
      <c r="B121" s="9" t="str">
        <f t="shared" si="15"/>
        <v/>
      </c>
      <c r="C121" s="157">
        <f>IF(D93="","-",+C120+1)</f>
        <v>2040</v>
      </c>
      <c r="D121" s="158">
        <f>IF(F120+SUM(E$99:E120)=D$92,F120,D$92-SUM(E$99:E120))</f>
        <v>124846</v>
      </c>
      <c r="E121" s="164">
        <f t="shared" si="16"/>
        <v>5674</v>
      </c>
      <c r="F121" s="163">
        <f t="shared" si="17"/>
        <v>119172</v>
      </c>
      <c r="G121" s="163">
        <f t="shared" si="18"/>
        <v>122009</v>
      </c>
      <c r="H121" s="333">
        <f t="shared" si="13"/>
        <v>18208.663772985434</v>
      </c>
      <c r="I121" s="344">
        <f t="shared" si="14"/>
        <v>18208.663772985434</v>
      </c>
      <c r="J121" s="162">
        <f t="shared" si="9"/>
        <v>0</v>
      </c>
      <c r="K121" s="162"/>
      <c r="L121" s="335"/>
      <c r="M121" s="162">
        <f t="shared" si="10"/>
        <v>0</v>
      </c>
      <c r="N121" s="335"/>
      <c r="O121" s="162">
        <f t="shared" si="11"/>
        <v>0</v>
      </c>
      <c r="P121" s="162">
        <f t="shared" si="12"/>
        <v>0</v>
      </c>
    </row>
    <row r="122" spans="2:16">
      <c r="B122" s="9" t="str">
        <f t="shared" si="15"/>
        <v/>
      </c>
      <c r="C122" s="157">
        <f>IF(D93="","-",+C121+1)</f>
        <v>2041</v>
      </c>
      <c r="D122" s="158">
        <f>IF(F121+SUM(E$99:E121)=D$92,F121,D$92-SUM(E$99:E121))</f>
        <v>119172</v>
      </c>
      <c r="E122" s="164">
        <f t="shared" si="16"/>
        <v>5674</v>
      </c>
      <c r="F122" s="163">
        <f t="shared" si="17"/>
        <v>113498</v>
      </c>
      <c r="G122" s="163">
        <f t="shared" si="18"/>
        <v>116335</v>
      </c>
      <c r="H122" s="333">
        <f t="shared" si="13"/>
        <v>17625.742166809505</v>
      </c>
      <c r="I122" s="344">
        <f t="shared" si="14"/>
        <v>17625.742166809505</v>
      </c>
      <c r="J122" s="162">
        <f t="shared" si="9"/>
        <v>0</v>
      </c>
      <c r="K122" s="162"/>
      <c r="L122" s="335"/>
      <c r="M122" s="162">
        <f t="shared" si="10"/>
        <v>0</v>
      </c>
      <c r="N122" s="335"/>
      <c r="O122" s="162">
        <f t="shared" si="11"/>
        <v>0</v>
      </c>
      <c r="P122" s="162">
        <f t="shared" si="12"/>
        <v>0</v>
      </c>
    </row>
    <row r="123" spans="2:16">
      <c r="B123" s="9" t="str">
        <f t="shared" si="15"/>
        <v/>
      </c>
      <c r="C123" s="157">
        <f>IF(D93="","-",+C122+1)</f>
        <v>2042</v>
      </c>
      <c r="D123" s="158">
        <f>IF(F122+SUM(E$99:E122)=D$92,F122,D$92-SUM(E$99:E122))</f>
        <v>113498</v>
      </c>
      <c r="E123" s="164">
        <f t="shared" si="16"/>
        <v>5674</v>
      </c>
      <c r="F123" s="163">
        <f t="shared" si="17"/>
        <v>107824</v>
      </c>
      <c r="G123" s="163">
        <f t="shared" si="18"/>
        <v>110661</v>
      </c>
      <c r="H123" s="333">
        <f t="shared" si="13"/>
        <v>17042.820560633569</v>
      </c>
      <c r="I123" s="344">
        <f t="shared" si="14"/>
        <v>17042.820560633569</v>
      </c>
      <c r="J123" s="162">
        <f t="shared" si="9"/>
        <v>0</v>
      </c>
      <c r="K123" s="162"/>
      <c r="L123" s="335"/>
      <c r="M123" s="162">
        <f t="shared" si="10"/>
        <v>0</v>
      </c>
      <c r="N123" s="335"/>
      <c r="O123" s="162">
        <f t="shared" si="11"/>
        <v>0</v>
      </c>
      <c r="P123" s="162">
        <f t="shared" si="12"/>
        <v>0</v>
      </c>
    </row>
    <row r="124" spans="2:16">
      <c r="B124" s="9" t="str">
        <f t="shared" si="15"/>
        <v/>
      </c>
      <c r="C124" s="157">
        <f>IF(D93="","-",+C123+1)</f>
        <v>2043</v>
      </c>
      <c r="D124" s="158">
        <f>IF(F123+SUM(E$99:E123)=D$92,F123,D$92-SUM(E$99:E123))</f>
        <v>107824</v>
      </c>
      <c r="E124" s="164">
        <f t="shared" si="16"/>
        <v>5674</v>
      </c>
      <c r="F124" s="163">
        <f t="shared" si="17"/>
        <v>102150</v>
      </c>
      <c r="G124" s="163">
        <f t="shared" si="18"/>
        <v>104987</v>
      </c>
      <c r="H124" s="333">
        <f t="shared" si="13"/>
        <v>16459.89895445764</v>
      </c>
      <c r="I124" s="344">
        <f t="shared" si="14"/>
        <v>16459.89895445764</v>
      </c>
      <c r="J124" s="162">
        <f t="shared" si="9"/>
        <v>0</v>
      </c>
      <c r="K124" s="162"/>
      <c r="L124" s="335"/>
      <c r="M124" s="162">
        <f t="shared" si="10"/>
        <v>0</v>
      </c>
      <c r="N124" s="335"/>
      <c r="O124" s="162">
        <f t="shared" si="11"/>
        <v>0</v>
      </c>
      <c r="P124" s="162">
        <f t="shared" si="12"/>
        <v>0</v>
      </c>
    </row>
    <row r="125" spans="2:16">
      <c r="B125" s="9" t="str">
        <f t="shared" si="15"/>
        <v/>
      </c>
      <c r="C125" s="157">
        <f>IF(D93="","-",+C124+1)</f>
        <v>2044</v>
      </c>
      <c r="D125" s="158">
        <f>IF(F124+SUM(E$99:E124)=D$92,F124,D$92-SUM(E$99:E124))</f>
        <v>102150</v>
      </c>
      <c r="E125" s="164">
        <f t="shared" si="16"/>
        <v>5674</v>
      </c>
      <c r="F125" s="163">
        <f t="shared" si="17"/>
        <v>96476</v>
      </c>
      <c r="G125" s="163">
        <f t="shared" si="18"/>
        <v>99313</v>
      </c>
      <c r="H125" s="333">
        <f t="shared" si="13"/>
        <v>15876.977348281705</v>
      </c>
      <c r="I125" s="344">
        <f t="shared" si="14"/>
        <v>15876.977348281705</v>
      </c>
      <c r="J125" s="162">
        <f t="shared" si="9"/>
        <v>0</v>
      </c>
      <c r="K125" s="162"/>
      <c r="L125" s="335"/>
      <c r="M125" s="162">
        <f t="shared" si="10"/>
        <v>0</v>
      </c>
      <c r="N125" s="335"/>
      <c r="O125" s="162">
        <f t="shared" si="11"/>
        <v>0</v>
      </c>
      <c r="P125" s="162">
        <f t="shared" si="12"/>
        <v>0</v>
      </c>
    </row>
    <row r="126" spans="2:16">
      <c r="B126" s="9" t="str">
        <f t="shared" si="15"/>
        <v/>
      </c>
      <c r="C126" s="157">
        <f>IF(D93="","-",+C125+1)</f>
        <v>2045</v>
      </c>
      <c r="D126" s="158">
        <f>IF(F125+SUM(E$99:E125)=D$92,F125,D$92-SUM(E$99:E125))</f>
        <v>96476</v>
      </c>
      <c r="E126" s="164">
        <f t="shared" si="16"/>
        <v>5674</v>
      </c>
      <c r="F126" s="163">
        <f t="shared" si="17"/>
        <v>90802</v>
      </c>
      <c r="G126" s="163">
        <f t="shared" si="18"/>
        <v>93639</v>
      </c>
      <c r="H126" s="333">
        <f t="shared" si="13"/>
        <v>15294.055742105773</v>
      </c>
      <c r="I126" s="344">
        <f t="shared" si="14"/>
        <v>15294.055742105773</v>
      </c>
      <c r="J126" s="162">
        <f t="shared" si="9"/>
        <v>0</v>
      </c>
      <c r="K126" s="162"/>
      <c r="L126" s="335"/>
      <c r="M126" s="162">
        <f t="shared" si="10"/>
        <v>0</v>
      </c>
      <c r="N126" s="335"/>
      <c r="O126" s="162">
        <f t="shared" si="11"/>
        <v>0</v>
      </c>
      <c r="P126" s="162">
        <f t="shared" si="12"/>
        <v>0</v>
      </c>
    </row>
    <row r="127" spans="2:16">
      <c r="B127" s="9" t="str">
        <f t="shared" si="15"/>
        <v/>
      </c>
      <c r="C127" s="157">
        <f>IF(D93="","-",+C126+1)</f>
        <v>2046</v>
      </c>
      <c r="D127" s="158">
        <f>IF(F126+SUM(E$99:E126)=D$92,F126,D$92-SUM(E$99:E126))</f>
        <v>90802</v>
      </c>
      <c r="E127" s="164">
        <f t="shared" si="16"/>
        <v>5674</v>
      </c>
      <c r="F127" s="163">
        <f t="shared" si="17"/>
        <v>85128</v>
      </c>
      <c r="G127" s="163">
        <f t="shared" si="18"/>
        <v>87965</v>
      </c>
      <c r="H127" s="333">
        <f t="shared" si="13"/>
        <v>14711.13413592984</v>
      </c>
      <c r="I127" s="344">
        <f t="shared" si="14"/>
        <v>14711.13413592984</v>
      </c>
      <c r="J127" s="162">
        <f t="shared" si="9"/>
        <v>0</v>
      </c>
      <c r="K127" s="162"/>
      <c r="L127" s="335"/>
      <c r="M127" s="162">
        <f t="shared" si="10"/>
        <v>0</v>
      </c>
      <c r="N127" s="335"/>
      <c r="O127" s="162">
        <f t="shared" si="11"/>
        <v>0</v>
      </c>
      <c r="P127" s="162">
        <f t="shared" si="12"/>
        <v>0</v>
      </c>
    </row>
    <row r="128" spans="2:16">
      <c r="B128" s="9" t="str">
        <f t="shared" si="15"/>
        <v/>
      </c>
      <c r="C128" s="157">
        <f>IF(D93="","-",+C127+1)</f>
        <v>2047</v>
      </c>
      <c r="D128" s="158">
        <f>IF(F127+SUM(E$99:E127)=D$92,F127,D$92-SUM(E$99:E127))</f>
        <v>85128</v>
      </c>
      <c r="E128" s="164">
        <f t="shared" si="16"/>
        <v>5674</v>
      </c>
      <c r="F128" s="163">
        <f t="shared" si="17"/>
        <v>79454</v>
      </c>
      <c r="G128" s="163">
        <f t="shared" si="18"/>
        <v>82291</v>
      </c>
      <c r="H128" s="333">
        <f t="shared" si="13"/>
        <v>14128.212529753908</v>
      </c>
      <c r="I128" s="344">
        <f t="shared" si="14"/>
        <v>14128.212529753908</v>
      </c>
      <c r="J128" s="162">
        <f t="shared" si="9"/>
        <v>0</v>
      </c>
      <c r="K128" s="162"/>
      <c r="L128" s="335"/>
      <c r="M128" s="162">
        <f t="shared" si="10"/>
        <v>0</v>
      </c>
      <c r="N128" s="335"/>
      <c r="O128" s="162">
        <f t="shared" si="11"/>
        <v>0</v>
      </c>
      <c r="P128" s="162">
        <f t="shared" si="12"/>
        <v>0</v>
      </c>
    </row>
    <row r="129" spans="2:16">
      <c r="B129" s="9" t="str">
        <f t="shared" si="15"/>
        <v/>
      </c>
      <c r="C129" s="157">
        <f>IF(D93="","-",+C128+1)</f>
        <v>2048</v>
      </c>
      <c r="D129" s="158">
        <f>IF(F128+SUM(E$99:E128)=D$92,F128,D$92-SUM(E$99:E128))</f>
        <v>79454</v>
      </c>
      <c r="E129" s="164">
        <f t="shared" si="16"/>
        <v>5674</v>
      </c>
      <c r="F129" s="163">
        <f t="shared" si="17"/>
        <v>73780</v>
      </c>
      <c r="G129" s="163">
        <f t="shared" si="18"/>
        <v>76617</v>
      </c>
      <c r="H129" s="333">
        <f t="shared" si="13"/>
        <v>13545.290923577973</v>
      </c>
      <c r="I129" s="344">
        <f t="shared" si="14"/>
        <v>13545.290923577973</v>
      </c>
      <c r="J129" s="162">
        <f t="shared" si="9"/>
        <v>0</v>
      </c>
      <c r="K129" s="162"/>
      <c r="L129" s="335"/>
      <c r="M129" s="162">
        <f t="shared" si="10"/>
        <v>0</v>
      </c>
      <c r="N129" s="335"/>
      <c r="O129" s="162">
        <f t="shared" si="11"/>
        <v>0</v>
      </c>
      <c r="P129" s="162">
        <f t="shared" si="12"/>
        <v>0</v>
      </c>
    </row>
    <row r="130" spans="2:16">
      <c r="B130" s="9" t="str">
        <f t="shared" si="15"/>
        <v/>
      </c>
      <c r="C130" s="157">
        <f>IF(D93="","-",+C129+1)</f>
        <v>2049</v>
      </c>
      <c r="D130" s="158">
        <f>IF(F129+SUM(E$99:E129)=D$92,F129,D$92-SUM(E$99:E129))</f>
        <v>73780</v>
      </c>
      <c r="E130" s="164">
        <f t="shared" si="16"/>
        <v>5674</v>
      </c>
      <c r="F130" s="163">
        <f t="shared" si="17"/>
        <v>68106</v>
      </c>
      <c r="G130" s="163">
        <f t="shared" si="18"/>
        <v>70943</v>
      </c>
      <c r="H130" s="333">
        <f t="shared" si="13"/>
        <v>12962.369317402041</v>
      </c>
      <c r="I130" s="344">
        <f t="shared" si="14"/>
        <v>12962.369317402041</v>
      </c>
      <c r="J130" s="162">
        <f t="shared" si="9"/>
        <v>0</v>
      </c>
      <c r="K130" s="162"/>
      <c r="L130" s="335"/>
      <c r="M130" s="162">
        <f t="shared" si="10"/>
        <v>0</v>
      </c>
      <c r="N130" s="335"/>
      <c r="O130" s="162">
        <f t="shared" si="11"/>
        <v>0</v>
      </c>
      <c r="P130" s="162">
        <f t="shared" si="12"/>
        <v>0</v>
      </c>
    </row>
    <row r="131" spans="2:16">
      <c r="B131" s="9" t="str">
        <f t="shared" si="15"/>
        <v/>
      </c>
      <c r="C131" s="157">
        <f>IF(D93="","-",+C130+1)</f>
        <v>2050</v>
      </c>
      <c r="D131" s="158">
        <f>IF(F130+SUM(E$99:E130)=D$92,F130,D$92-SUM(E$99:E130))</f>
        <v>68106</v>
      </c>
      <c r="E131" s="164">
        <f t="shared" si="16"/>
        <v>5674</v>
      </c>
      <c r="F131" s="163">
        <f t="shared" si="17"/>
        <v>62432</v>
      </c>
      <c r="G131" s="163">
        <f t="shared" si="18"/>
        <v>65269</v>
      </c>
      <c r="H131" s="333">
        <f t="shared" si="13"/>
        <v>12379.447711226108</v>
      </c>
      <c r="I131" s="344">
        <f t="shared" si="14"/>
        <v>12379.447711226108</v>
      </c>
      <c r="J131" s="162">
        <f t="shared" ref="J131:J154" si="19">+I541-H541</f>
        <v>0</v>
      </c>
      <c r="K131" s="162"/>
      <c r="L131" s="335"/>
      <c r="M131" s="162">
        <f t="shared" ref="M131:M154" si="20">IF(L541&lt;&gt;0,+H541-L541,0)</f>
        <v>0</v>
      </c>
      <c r="N131" s="335"/>
      <c r="O131" s="162">
        <f t="shared" ref="O131:O154" si="21">IF(N541&lt;&gt;0,+I541-N541,0)</f>
        <v>0</v>
      </c>
      <c r="P131" s="162">
        <f t="shared" ref="P131:P154" si="22">+O541-M541</f>
        <v>0</v>
      </c>
    </row>
    <row r="132" spans="2:16">
      <c r="B132" s="9" t="str">
        <f t="shared" si="15"/>
        <v/>
      </c>
      <c r="C132" s="157">
        <f>IF(D93="","-",+C131+1)</f>
        <v>2051</v>
      </c>
      <c r="D132" s="158">
        <f>IF(F131+SUM(E$99:E131)=D$92,F131,D$92-SUM(E$99:E131))</f>
        <v>62432</v>
      </c>
      <c r="E132" s="164">
        <f t="shared" si="16"/>
        <v>5674</v>
      </c>
      <c r="F132" s="163">
        <f t="shared" si="17"/>
        <v>56758</v>
      </c>
      <c r="G132" s="163">
        <f t="shared" si="18"/>
        <v>59595</v>
      </c>
      <c r="H132" s="333">
        <f t="shared" si="13"/>
        <v>11796.526105050176</v>
      </c>
      <c r="I132" s="344">
        <f t="shared" si="14"/>
        <v>11796.526105050176</v>
      </c>
      <c r="J132" s="162">
        <f t="shared" si="19"/>
        <v>0</v>
      </c>
      <c r="K132" s="162"/>
      <c r="L132" s="335"/>
      <c r="M132" s="162">
        <f t="shared" si="20"/>
        <v>0</v>
      </c>
      <c r="N132" s="335"/>
      <c r="O132" s="162">
        <f t="shared" si="21"/>
        <v>0</v>
      </c>
      <c r="P132" s="162">
        <f t="shared" si="22"/>
        <v>0</v>
      </c>
    </row>
    <row r="133" spans="2:16">
      <c r="B133" s="9" t="str">
        <f t="shared" si="15"/>
        <v/>
      </c>
      <c r="C133" s="157">
        <f>IF(D93="","-",+C132+1)</f>
        <v>2052</v>
      </c>
      <c r="D133" s="158">
        <f>IF(F132+SUM(E$99:E132)=D$92,F132,D$92-SUM(E$99:E132))</f>
        <v>56758</v>
      </c>
      <c r="E133" s="164">
        <f t="shared" si="16"/>
        <v>5674</v>
      </c>
      <c r="F133" s="163">
        <f t="shared" si="17"/>
        <v>51084</v>
      </c>
      <c r="G133" s="163">
        <f t="shared" si="18"/>
        <v>53921</v>
      </c>
      <c r="H133" s="333">
        <f t="shared" si="13"/>
        <v>11213.604498874243</v>
      </c>
      <c r="I133" s="344">
        <f t="shared" si="14"/>
        <v>11213.604498874243</v>
      </c>
      <c r="J133" s="162">
        <f t="shared" si="19"/>
        <v>0</v>
      </c>
      <c r="K133" s="162"/>
      <c r="L133" s="335"/>
      <c r="M133" s="162">
        <f t="shared" si="20"/>
        <v>0</v>
      </c>
      <c r="N133" s="335"/>
      <c r="O133" s="162">
        <f t="shared" si="21"/>
        <v>0</v>
      </c>
      <c r="P133" s="162">
        <f t="shared" si="22"/>
        <v>0</v>
      </c>
    </row>
    <row r="134" spans="2:16">
      <c r="B134" s="9" t="str">
        <f t="shared" si="15"/>
        <v/>
      </c>
      <c r="C134" s="157">
        <f>IF(D93="","-",+C133+1)</f>
        <v>2053</v>
      </c>
      <c r="D134" s="158">
        <f>IF(F133+SUM(E$99:E133)=D$92,F133,D$92-SUM(E$99:E133))</f>
        <v>51084</v>
      </c>
      <c r="E134" s="164">
        <f t="shared" si="16"/>
        <v>5674</v>
      </c>
      <c r="F134" s="163">
        <f t="shared" si="17"/>
        <v>45410</v>
      </c>
      <c r="G134" s="163">
        <f t="shared" si="18"/>
        <v>48247</v>
      </c>
      <c r="H134" s="333">
        <f t="shared" si="13"/>
        <v>10630.682892698311</v>
      </c>
      <c r="I134" s="344">
        <f t="shared" si="14"/>
        <v>10630.682892698311</v>
      </c>
      <c r="J134" s="162">
        <f t="shared" si="19"/>
        <v>0</v>
      </c>
      <c r="K134" s="162"/>
      <c r="L134" s="335"/>
      <c r="M134" s="162">
        <f t="shared" si="20"/>
        <v>0</v>
      </c>
      <c r="N134" s="335"/>
      <c r="O134" s="162">
        <f t="shared" si="21"/>
        <v>0</v>
      </c>
      <c r="P134" s="162">
        <f t="shared" si="22"/>
        <v>0</v>
      </c>
    </row>
    <row r="135" spans="2:16">
      <c r="B135" s="9" t="str">
        <f t="shared" si="15"/>
        <v/>
      </c>
      <c r="C135" s="157">
        <f>IF(D93="","-",+C134+1)</f>
        <v>2054</v>
      </c>
      <c r="D135" s="158">
        <f>IF(F134+SUM(E$99:E134)=D$92,F134,D$92-SUM(E$99:E134))</f>
        <v>45410</v>
      </c>
      <c r="E135" s="164">
        <f t="shared" si="16"/>
        <v>5674</v>
      </c>
      <c r="F135" s="163">
        <f t="shared" si="17"/>
        <v>39736</v>
      </c>
      <c r="G135" s="163">
        <f t="shared" si="18"/>
        <v>42573</v>
      </c>
      <c r="H135" s="333">
        <f t="shared" si="13"/>
        <v>10047.761286522378</v>
      </c>
      <c r="I135" s="344">
        <f t="shared" si="14"/>
        <v>10047.761286522378</v>
      </c>
      <c r="J135" s="162">
        <f t="shared" si="19"/>
        <v>0</v>
      </c>
      <c r="K135" s="162"/>
      <c r="L135" s="335"/>
      <c r="M135" s="162">
        <f t="shared" si="20"/>
        <v>0</v>
      </c>
      <c r="N135" s="335"/>
      <c r="O135" s="162">
        <f t="shared" si="21"/>
        <v>0</v>
      </c>
      <c r="P135" s="162">
        <f t="shared" si="22"/>
        <v>0</v>
      </c>
    </row>
    <row r="136" spans="2:16">
      <c r="B136" s="9" t="str">
        <f t="shared" si="15"/>
        <v/>
      </c>
      <c r="C136" s="157">
        <f>IF(D93="","-",+C135+1)</f>
        <v>2055</v>
      </c>
      <c r="D136" s="158">
        <f>IF(F135+SUM(E$99:E135)=D$92,F135,D$92-SUM(E$99:E135))</f>
        <v>39736</v>
      </c>
      <c r="E136" s="164">
        <f t="shared" si="16"/>
        <v>5674</v>
      </c>
      <c r="F136" s="163">
        <f t="shared" si="17"/>
        <v>34062</v>
      </c>
      <c r="G136" s="163">
        <f t="shared" si="18"/>
        <v>36899</v>
      </c>
      <c r="H136" s="333">
        <f t="shared" si="13"/>
        <v>9464.8396803464457</v>
      </c>
      <c r="I136" s="344">
        <f t="shared" si="14"/>
        <v>9464.8396803464457</v>
      </c>
      <c r="J136" s="162">
        <f t="shared" si="19"/>
        <v>0</v>
      </c>
      <c r="K136" s="162"/>
      <c r="L136" s="335"/>
      <c r="M136" s="162">
        <f t="shared" si="20"/>
        <v>0</v>
      </c>
      <c r="N136" s="335"/>
      <c r="O136" s="162">
        <f t="shared" si="21"/>
        <v>0</v>
      </c>
      <c r="P136" s="162">
        <f t="shared" si="22"/>
        <v>0</v>
      </c>
    </row>
    <row r="137" spans="2:16">
      <c r="B137" s="9" t="str">
        <f t="shared" si="15"/>
        <v/>
      </c>
      <c r="C137" s="157">
        <f>IF(D93="","-",+C136+1)</f>
        <v>2056</v>
      </c>
      <c r="D137" s="158">
        <f>IF(F136+SUM(E$99:E136)=D$92,F136,D$92-SUM(E$99:E136))</f>
        <v>34062</v>
      </c>
      <c r="E137" s="164">
        <f t="shared" si="16"/>
        <v>5674</v>
      </c>
      <c r="F137" s="163">
        <f t="shared" si="17"/>
        <v>28388</v>
      </c>
      <c r="G137" s="163">
        <f t="shared" si="18"/>
        <v>31225</v>
      </c>
      <c r="H137" s="333">
        <f t="shared" si="13"/>
        <v>8881.9180741705131</v>
      </c>
      <c r="I137" s="344">
        <f t="shared" si="14"/>
        <v>8881.9180741705131</v>
      </c>
      <c r="J137" s="162">
        <f t="shared" si="19"/>
        <v>0</v>
      </c>
      <c r="K137" s="162"/>
      <c r="L137" s="335"/>
      <c r="M137" s="162">
        <f t="shared" si="20"/>
        <v>0</v>
      </c>
      <c r="N137" s="335"/>
      <c r="O137" s="162">
        <f t="shared" si="21"/>
        <v>0</v>
      </c>
      <c r="P137" s="162">
        <f t="shared" si="22"/>
        <v>0</v>
      </c>
    </row>
    <row r="138" spans="2:16">
      <c r="B138" s="9" t="str">
        <f t="shared" si="15"/>
        <v/>
      </c>
      <c r="C138" s="157">
        <f>IF(D93="","-",+C137+1)</f>
        <v>2057</v>
      </c>
      <c r="D138" s="158">
        <f>IF(F137+SUM(E$99:E137)=D$92,F137,D$92-SUM(E$99:E137))</f>
        <v>28388</v>
      </c>
      <c r="E138" s="164">
        <f t="shared" si="16"/>
        <v>5674</v>
      </c>
      <c r="F138" s="163">
        <f t="shared" si="17"/>
        <v>22714</v>
      </c>
      <c r="G138" s="163">
        <f t="shared" si="18"/>
        <v>25551</v>
      </c>
      <c r="H138" s="333">
        <f t="shared" si="13"/>
        <v>8298.9964679945806</v>
      </c>
      <c r="I138" s="344">
        <f t="shared" si="14"/>
        <v>8298.9964679945806</v>
      </c>
      <c r="J138" s="162">
        <f t="shared" si="19"/>
        <v>0</v>
      </c>
      <c r="K138" s="162"/>
      <c r="L138" s="335"/>
      <c r="M138" s="162">
        <f t="shared" si="20"/>
        <v>0</v>
      </c>
      <c r="N138" s="335"/>
      <c r="O138" s="162">
        <f t="shared" si="21"/>
        <v>0</v>
      </c>
      <c r="P138" s="162">
        <f t="shared" si="22"/>
        <v>0</v>
      </c>
    </row>
    <row r="139" spans="2:16">
      <c r="B139" s="9" t="str">
        <f t="shared" si="15"/>
        <v/>
      </c>
      <c r="C139" s="157">
        <f>IF(D93="","-",+C138+1)</f>
        <v>2058</v>
      </c>
      <c r="D139" s="158">
        <f>IF(F138+SUM(E$99:E138)=D$92,F138,D$92-SUM(E$99:E138))</f>
        <v>22714</v>
      </c>
      <c r="E139" s="164">
        <f t="shared" si="16"/>
        <v>5674</v>
      </c>
      <c r="F139" s="163">
        <f t="shared" si="17"/>
        <v>17040</v>
      </c>
      <c r="G139" s="163">
        <f t="shared" si="18"/>
        <v>19877</v>
      </c>
      <c r="H139" s="333">
        <f t="shared" si="13"/>
        <v>7716.074861818649</v>
      </c>
      <c r="I139" s="344">
        <f t="shared" si="14"/>
        <v>7716.074861818649</v>
      </c>
      <c r="J139" s="162">
        <f t="shared" si="19"/>
        <v>0</v>
      </c>
      <c r="K139" s="162"/>
      <c r="L139" s="335"/>
      <c r="M139" s="162">
        <f t="shared" si="20"/>
        <v>0</v>
      </c>
      <c r="N139" s="335"/>
      <c r="O139" s="162">
        <f t="shared" si="21"/>
        <v>0</v>
      </c>
      <c r="P139" s="162">
        <f t="shared" si="22"/>
        <v>0</v>
      </c>
    </row>
    <row r="140" spans="2:16">
      <c r="B140" s="9" t="str">
        <f t="shared" si="15"/>
        <v/>
      </c>
      <c r="C140" s="157">
        <f>IF(D93="","-",+C139+1)</f>
        <v>2059</v>
      </c>
      <c r="D140" s="158">
        <f>IF(F139+SUM(E$99:E139)=D$92,F139,D$92-SUM(E$99:E139))</f>
        <v>17040</v>
      </c>
      <c r="E140" s="164">
        <f t="shared" si="16"/>
        <v>5674</v>
      </c>
      <c r="F140" s="163">
        <f t="shared" si="17"/>
        <v>11366</v>
      </c>
      <c r="G140" s="163">
        <f t="shared" si="18"/>
        <v>14203</v>
      </c>
      <c r="H140" s="333">
        <f t="shared" si="13"/>
        <v>7133.1532556427155</v>
      </c>
      <c r="I140" s="344">
        <f t="shared" si="14"/>
        <v>7133.1532556427155</v>
      </c>
      <c r="J140" s="162">
        <f t="shared" si="19"/>
        <v>0</v>
      </c>
      <c r="K140" s="162"/>
      <c r="L140" s="335"/>
      <c r="M140" s="162">
        <f t="shared" si="20"/>
        <v>0</v>
      </c>
      <c r="N140" s="335"/>
      <c r="O140" s="162">
        <f t="shared" si="21"/>
        <v>0</v>
      </c>
      <c r="P140" s="162">
        <f t="shared" si="22"/>
        <v>0</v>
      </c>
    </row>
    <row r="141" spans="2:16">
      <c r="B141" s="9" t="str">
        <f t="shared" si="15"/>
        <v/>
      </c>
      <c r="C141" s="157">
        <f>IF(D93="","-",+C140+1)</f>
        <v>2060</v>
      </c>
      <c r="D141" s="158">
        <f>IF(F140+SUM(E$99:E140)=D$92,F140,D$92-SUM(E$99:E140))</f>
        <v>11366</v>
      </c>
      <c r="E141" s="164">
        <f t="shared" si="16"/>
        <v>5674</v>
      </c>
      <c r="F141" s="163">
        <f t="shared" si="17"/>
        <v>5692</v>
      </c>
      <c r="G141" s="163">
        <f t="shared" si="18"/>
        <v>8529</v>
      </c>
      <c r="H141" s="333">
        <f t="shared" si="13"/>
        <v>6550.231649466783</v>
      </c>
      <c r="I141" s="344">
        <f t="shared" si="14"/>
        <v>6550.231649466783</v>
      </c>
      <c r="J141" s="162">
        <f t="shared" si="19"/>
        <v>0</v>
      </c>
      <c r="K141" s="162"/>
      <c r="L141" s="335"/>
      <c r="M141" s="162">
        <f t="shared" si="20"/>
        <v>0</v>
      </c>
      <c r="N141" s="335"/>
      <c r="O141" s="162">
        <f t="shared" si="21"/>
        <v>0</v>
      </c>
      <c r="P141" s="162">
        <f t="shared" si="22"/>
        <v>0</v>
      </c>
    </row>
    <row r="142" spans="2:16">
      <c r="B142" s="9" t="str">
        <f t="shared" si="15"/>
        <v/>
      </c>
      <c r="C142" s="157">
        <f>IF(D93="","-",+C141+1)</f>
        <v>2061</v>
      </c>
      <c r="D142" s="158">
        <f>IF(F141+SUM(E$99:E141)=D$92,F141,D$92-SUM(E$99:E141))</f>
        <v>5692</v>
      </c>
      <c r="E142" s="164">
        <f t="shared" si="16"/>
        <v>5674</v>
      </c>
      <c r="F142" s="163">
        <f t="shared" si="17"/>
        <v>18</v>
      </c>
      <c r="G142" s="163">
        <f t="shared" si="18"/>
        <v>2855</v>
      </c>
      <c r="H142" s="333">
        <f t="shared" si="13"/>
        <v>5967.3100432908504</v>
      </c>
      <c r="I142" s="344">
        <f t="shared" si="14"/>
        <v>5967.3100432908504</v>
      </c>
      <c r="J142" s="162">
        <f t="shared" si="19"/>
        <v>0</v>
      </c>
      <c r="K142" s="162"/>
      <c r="L142" s="335"/>
      <c r="M142" s="162">
        <f t="shared" si="20"/>
        <v>0</v>
      </c>
      <c r="N142" s="335"/>
      <c r="O142" s="162">
        <f t="shared" si="21"/>
        <v>0</v>
      </c>
      <c r="P142" s="162">
        <f t="shared" si="22"/>
        <v>0</v>
      </c>
    </row>
    <row r="143" spans="2:16">
      <c r="B143" s="9" t="str">
        <f t="shared" si="15"/>
        <v/>
      </c>
      <c r="C143" s="157">
        <f>IF(D93="","-",+C142+1)</f>
        <v>2062</v>
      </c>
      <c r="D143" s="158">
        <f>IF(F142+SUM(E$99:E142)=D$92,F142,D$92-SUM(E$99:E142))</f>
        <v>18</v>
      </c>
      <c r="E143" s="164">
        <f t="shared" si="16"/>
        <v>18</v>
      </c>
      <c r="F143" s="163">
        <f t="shared" si="17"/>
        <v>0</v>
      </c>
      <c r="G143" s="163">
        <f t="shared" si="18"/>
        <v>9</v>
      </c>
      <c r="H143" s="333">
        <f t="shared" si="13"/>
        <v>18.924620101442262</v>
      </c>
      <c r="I143" s="344">
        <f t="shared" si="14"/>
        <v>18.924620101442262</v>
      </c>
      <c r="J143" s="162">
        <f t="shared" si="19"/>
        <v>0</v>
      </c>
      <c r="K143" s="162"/>
      <c r="L143" s="335"/>
      <c r="M143" s="162">
        <f t="shared" si="20"/>
        <v>0</v>
      </c>
      <c r="N143" s="335"/>
      <c r="O143" s="162">
        <f t="shared" si="21"/>
        <v>0</v>
      </c>
      <c r="P143" s="162">
        <f t="shared" si="22"/>
        <v>0</v>
      </c>
    </row>
    <row r="144" spans="2:16">
      <c r="B144" s="9" t="str">
        <f t="shared" si="15"/>
        <v/>
      </c>
      <c r="C144" s="157">
        <f>IF(D93="","-",+C143+1)</f>
        <v>2063</v>
      </c>
      <c r="D144" s="158">
        <f>IF(F143+SUM(E$99:E143)=D$92,F143,D$92-SUM(E$99:E143))</f>
        <v>0</v>
      </c>
      <c r="E144" s="164">
        <f t="shared" si="16"/>
        <v>0</v>
      </c>
      <c r="F144" s="163">
        <f t="shared" si="17"/>
        <v>0</v>
      </c>
      <c r="G144" s="163">
        <f t="shared" si="18"/>
        <v>0</v>
      </c>
      <c r="H144" s="333">
        <f t="shared" si="13"/>
        <v>0</v>
      </c>
      <c r="I144" s="344">
        <f t="shared" si="14"/>
        <v>0</v>
      </c>
      <c r="J144" s="162">
        <f t="shared" si="19"/>
        <v>0</v>
      </c>
      <c r="K144" s="162"/>
      <c r="L144" s="335"/>
      <c r="M144" s="162">
        <f t="shared" si="20"/>
        <v>0</v>
      </c>
      <c r="N144" s="335"/>
      <c r="O144" s="162">
        <f t="shared" si="21"/>
        <v>0</v>
      </c>
      <c r="P144" s="162">
        <f t="shared" si="22"/>
        <v>0</v>
      </c>
    </row>
    <row r="145" spans="2:16">
      <c r="B145" s="9" t="str">
        <f t="shared" si="15"/>
        <v/>
      </c>
      <c r="C145" s="157">
        <f>IF(D93="","-",+C144+1)</f>
        <v>2064</v>
      </c>
      <c r="D145" s="158">
        <f>IF(F144+SUM(E$99:E144)=D$92,F144,D$92-SUM(E$99:E144))</f>
        <v>0</v>
      </c>
      <c r="E145" s="164">
        <f t="shared" si="16"/>
        <v>0</v>
      </c>
      <c r="F145" s="163">
        <f t="shared" si="17"/>
        <v>0</v>
      </c>
      <c r="G145" s="163">
        <f t="shared" si="18"/>
        <v>0</v>
      </c>
      <c r="H145" s="333">
        <f t="shared" si="13"/>
        <v>0</v>
      </c>
      <c r="I145" s="344">
        <f t="shared" si="14"/>
        <v>0</v>
      </c>
      <c r="J145" s="162">
        <f t="shared" si="19"/>
        <v>0</v>
      </c>
      <c r="K145" s="162"/>
      <c r="L145" s="335"/>
      <c r="M145" s="162">
        <f t="shared" si="20"/>
        <v>0</v>
      </c>
      <c r="N145" s="335"/>
      <c r="O145" s="162">
        <f t="shared" si="21"/>
        <v>0</v>
      </c>
      <c r="P145" s="162">
        <f t="shared" si="22"/>
        <v>0</v>
      </c>
    </row>
    <row r="146" spans="2:16">
      <c r="B146" s="9" t="str">
        <f t="shared" si="15"/>
        <v/>
      </c>
      <c r="C146" s="157">
        <f>IF(D93="","-",+C145+1)</f>
        <v>2065</v>
      </c>
      <c r="D146" s="158">
        <f>IF(F145+SUM(E$99:E145)=D$92,F145,D$92-SUM(E$99:E145))</f>
        <v>0</v>
      </c>
      <c r="E146" s="164">
        <f t="shared" si="16"/>
        <v>0</v>
      </c>
      <c r="F146" s="163">
        <f t="shared" si="17"/>
        <v>0</v>
      </c>
      <c r="G146" s="163">
        <f t="shared" si="18"/>
        <v>0</v>
      </c>
      <c r="H146" s="333">
        <f t="shared" si="13"/>
        <v>0</v>
      </c>
      <c r="I146" s="344">
        <f t="shared" si="14"/>
        <v>0</v>
      </c>
      <c r="J146" s="162">
        <f t="shared" si="19"/>
        <v>0</v>
      </c>
      <c r="K146" s="162"/>
      <c r="L146" s="335"/>
      <c r="M146" s="162">
        <f t="shared" si="20"/>
        <v>0</v>
      </c>
      <c r="N146" s="335"/>
      <c r="O146" s="162">
        <f t="shared" si="21"/>
        <v>0</v>
      </c>
      <c r="P146" s="162">
        <f t="shared" si="22"/>
        <v>0</v>
      </c>
    </row>
    <row r="147" spans="2:16">
      <c r="B147" s="9" t="str">
        <f t="shared" si="15"/>
        <v/>
      </c>
      <c r="C147" s="157">
        <f>IF(D93="","-",+C146+1)</f>
        <v>2066</v>
      </c>
      <c r="D147" s="158">
        <f>IF(F146+SUM(E$99:E146)=D$92,F146,D$92-SUM(E$99:E146))</f>
        <v>0</v>
      </c>
      <c r="E147" s="164">
        <f t="shared" si="16"/>
        <v>0</v>
      </c>
      <c r="F147" s="163">
        <f t="shared" si="17"/>
        <v>0</v>
      </c>
      <c r="G147" s="163">
        <f t="shared" si="18"/>
        <v>0</v>
      </c>
      <c r="H147" s="333">
        <f t="shared" si="13"/>
        <v>0</v>
      </c>
      <c r="I147" s="344">
        <f t="shared" si="14"/>
        <v>0</v>
      </c>
      <c r="J147" s="162">
        <f t="shared" si="19"/>
        <v>0</v>
      </c>
      <c r="K147" s="162"/>
      <c r="L147" s="335"/>
      <c r="M147" s="162">
        <f t="shared" si="20"/>
        <v>0</v>
      </c>
      <c r="N147" s="335"/>
      <c r="O147" s="162">
        <f t="shared" si="21"/>
        <v>0</v>
      </c>
      <c r="P147" s="162">
        <f t="shared" si="22"/>
        <v>0</v>
      </c>
    </row>
    <row r="148" spans="2:16">
      <c r="B148" s="9" t="str">
        <f t="shared" si="15"/>
        <v/>
      </c>
      <c r="C148" s="157">
        <f>IF(D93="","-",+C147+1)</f>
        <v>2067</v>
      </c>
      <c r="D148" s="158">
        <f>IF(F147+SUM(E$99:E147)=D$92,F147,D$92-SUM(E$99:E147))</f>
        <v>0</v>
      </c>
      <c r="E148" s="164">
        <f t="shared" si="16"/>
        <v>0</v>
      </c>
      <c r="F148" s="163">
        <f t="shared" si="17"/>
        <v>0</v>
      </c>
      <c r="G148" s="163">
        <f t="shared" si="18"/>
        <v>0</v>
      </c>
      <c r="H148" s="333">
        <f t="shared" si="13"/>
        <v>0</v>
      </c>
      <c r="I148" s="344">
        <f t="shared" si="14"/>
        <v>0</v>
      </c>
      <c r="J148" s="162">
        <f t="shared" si="19"/>
        <v>0</v>
      </c>
      <c r="K148" s="162"/>
      <c r="L148" s="335"/>
      <c r="M148" s="162">
        <f t="shared" si="20"/>
        <v>0</v>
      </c>
      <c r="N148" s="335"/>
      <c r="O148" s="162">
        <f t="shared" si="21"/>
        <v>0</v>
      </c>
      <c r="P148" s="162">
        <f t="shared" si="22"/>
        <v>0</v>
      </c>
    </row>
    <row r="149" spans="2:16">
      <c r="B149" s="9" t="str">
        <f t="shared" si="15"/>
        <v/>
      </c>
      <c r="C149" s="157">
        <f>IF(D93="","-",+C148+1)</f>
        <v>2068</v>
      </c>
      <c r="D149" s="158">
        <f>IF(F148+SUM(E$99:E148)=D$92,F148,D$92-SUM(E$99:E148))</f>
        <v>0</v>
      </c>
      <c r="E149" s="164">
        <f t="shared" si="16"/>
        <v>0</v>
      </c>
      <c r="F149" s="163">
        <f t="shared" si="17"/>
        <v>0</v>
      </c>
      <c r="G149" s="163">
        <f t="shared" si="18"/>
        <v>0</v>
      </c>
      <c r="H149" s="333">
        <f t="shared" si="13"/>
        <v>0</v>
      </c>
      <c r="I149" s="344">
        <f t="shared" si="14"/>
        <v>0</v>
      </c>
      <c r="J149" s="162">
        <f t="shared" si="19"/>
        <v>0</v>
      </c>
      <c r="K149" s="162"/>
      <c r="L149" s="335"/>
      <c r="M149" s="162">
        <f t="shared" si="20"/>
        <v>0</v>
      </c>
      <c r="N149" s="335"/>
      <c r="O149" s="162">
        <f t="shared" si="21"/>
        <v>0</v>
      </c>
      <c r="P149" s="162">
        <f t="shared" si="22"/>
        <v>0</v>
      </c>
    </row>
    <row r="150" spans="2:16">
      <c r="B150" s="9" t="str">
        <f t="shared" si="15"/>
        <v/>
      </c>
      <c r="C150" s="157">
        <f>IF(D93="","-",+C149+1)</f>
        <v>2069</v>
      </c>
      <c r="D150" s="158">
        <f>IF(F149+SUM(E$99:E149)=D$92,F149,D$92-SUM(E$99:E149))</f>
        <v>0</v>
      </c>
      <c r="E150" s="164">
        <f t="shared" si="16"/>
        <v>0</v>
      </c>
      <c r="F150" s="163">
        <f t="shared" si="17"/>
        <v>0</v>
      </c>
      <c r="G150" s="163">
        <f t="shared" si="18"/>
        <v>0</v>
      </c>
      <c r="H150" s="333">
        <f t="shared" si="13"/>
        <v>0</v>
      </c>
      <c r="I150" s="344">
        <f t="shared" si="14"/>
        <v>0</v>
      </c>
      <c r="J150" s="162">
        <f t="shared" si="19"/>
        <v>0</v>
      </c>
      <c r="K150" s="162"/>
      <c r="L150" s="335"/>
      <c r="M150" s="162">
        <f t="shared" si="20"/>
        <v>0</v>
      </c>
      <c r="N150" s="335"/>
      <c r="O150" s="162">
        <f t="shared" si="21"/>
        <v>0</v>
      </c>
      <c r="P150" s="162">
        <f t="shared" si="22"/>
        <v>0</v>
      </c>
    </row>
    <row r="151" spans="2:16">
      <c r="B151" s="9" t="str">
        <f t="shared" si="15"/>
        <v/>
      </c>
      <c r="C151" s="157">
        <f>IF(D93="","-",+C150+1)</f>
        <v>2070</v>
      </c>
      <c r="D151" s="158">
        <f>IF(F150+SUM(E$99:E150)=D$92,F150,D$92-SUM(E$99:E150))</f>
        <v>0</v>
      </c>
      <c r="E151" s="164">
        <f t="shared" si="16"/>
        <v>0</v>
      </c>
      <c r="F151" s="163">
        <f t="shared" si="17"/>
        <v>0</v>
      </c>
      <c r="G151" s="163">
        <f t="shared" si="18"/>
        <v>0</v>
      </c>
      <c r="H151" s="333">
        <f t="shared" si="13"/>
        <v>0</v>
      </c>
      <c r="I151" s="344">
        <f t="shared" si="14"/>
        <v>0</v>
      </c>
      <c r="J151" s="162">
        <f t="shared" si="19"/>
        <v>0</v>
      </c>
      <c r="K151" s="162"/>
      <c r="L151" s="335"/>
      <c r="M151" s="162">
        <f t="shared" si="20"/>
        <v>0</v>
      </c>
      <c r="N151" s="335"/>
      <c r="O151" s="162">
        <f t="shared" si="21"/>
        <v>0</v>
      </c>
      <c r="P151" s="162">
        <f t="shared" si="22"/>
        <v>0</v>
      </c>
    </row>
    <row r="152" spans="2:16">
      <c r="B152" s="9" t="str">
        <f t="shared" si="15"/>
        <v/>
      </c>
      <c r="C152" s="157">
        <f>IF(D93="","-",+C151+1)</f>
        <v>2071</v>
      </c>
      <c r="D152" s="158">
        <f>IF(F151+SUM(E$99:E151)=D$92,F151,D$92-SUM(E$99:E151))</f>
        <v>0</v>
      </c>
      <c r="E152" s="164">
        <f t="shared" si="16"/>
        <v>0</v>
      </c>
      <c r="F152" s="163">
        <f t="shared" si="17"/>
        <v>0</v>
      </c>
      <c r="G152" s="163">
        <f t="shared" si="18"/>
        <v>0</v>
      </c>
      <c r="H152" s="333">
        <f t="shared" si="13"/>
        <v>0</v>
      </c>
      <c r="I152" s="344">
        <f t="shared" si="14"/>
        <v>0</v>
      </c>
      <c r="J152" s="162">
        <f t="shared" si="19"/>
        <v>0</v>
      </c>
      <c r="K152" s="162"/>
      <c r="L152" s="335"/>
      <c r="M152" s="162">
        <f t="shared" si="20"/>
        <v>0</v>
      </c>
      <c r="N152" s="335"/>
      <c r="O152" s="162">
        <f t="shared" si="21"/>
        <v>0</v>
      </c>
      <c r="P152" s="162">
        <f t="shared" si="22"/>
        <v>0</v>
      </c>
    </row>
    <row r="153" spans="2:16">
      <c r="B153" s="9" t="str">
        <f t="shared" si="15"/>
        <v/>
      </c>
      <c r="C153" s="157">
        <f>IF(D93="","-",+C152+1)</f>
        <v>2072</v>
      </c>
      <c r="D153" s="158">
        <f>IF(F152+SUM(E$99:E152)=D$92,F152,D$92-SUM(E$99:E152))</f>
        <v>0</v>
      </c>
      <c r="E153" s="164">
        <f t="shared" si="16"/>
        <v>0</v>
      </c>
      <c r="F153" s="163">
        <f t="shared" si="17"/>
        <v>0</v>
      </c>
      <c r="G153" s="163">
        <f t="shared" si="18"/>
        <v>0</v>
      </c>
      <c r="H153" s="333">
        <f t="shared" si="13"/>
        <v>0</v>
      </c>
      <c r="I153" s="344">
        <f t="shared" si="14"/>
        <v>0</v>
      </c>
      <c r="J153" s="162">
        <f t="shared" si="19"/>
        <v>0</v>
      </c>
      <c r="K153" s="162"/>
      <c r="L153" s="335"/>
      <c r="M153" s="162">
        <f t="shared" si="20"/>
        <v>0</v>
      </c>
      <c r="N153" s="335"/>
      <c r="O153" s="162">
        <f t="shared" si="21"/>
        <v>0</v>
      </c>
      <c r="P153" s="162">
        <f t="shared" si="22"/>
        <v>0</v>
      </c>
    </row>
    <row r="154" spans="2:16" ht="13.5" thickBot="1">
      <c r="B154" s="9" t="str">
        <f t="shared" si="15"/>
        <v/>
      </c>
      <c r="C154" s="168">
        <f>IF(D93="","-",+C153+1)</f>
        <v>2073</v>
      </c>
      <c r="D154" s="170">
        <f>IF(F153+SUM(E$99:E153)=D$92,F153,D$92-SUM(E$99:E153))</f>
        <v>0</v>
      </c>
      <c r="E154" s="170">
        <f t="shared" si="16"/>
        <v>0</v>
      </c>
      <c r="F154" s="169">
        <f t="shared" si="17"/>
        <v>0</v>
      </c>
      <c r="G154" s="169">
        <f t="shared" si="18"/>
        <v>0</v>
      </c>
      <c r="H154" s="345">
        <f t="shared" si="13"/>
        <v>0</v>
      </c>
      <c r="I154" s="346">
        <f t="shared" si="14"/>
        <v>0</v>
      </c>
      <c r="J154" s="173">
        <f t="shared" si="19"/>
        <v>0</v>
      </c>
      <c r="K154" s="162"/>
      <c r="L154" s="336"/>
      <c r="M154" s="173">
        <f t="shared" si="20"/>
        <v>0</v>
      </c>
      <c r="N154" s="336"/>
      <c r="O154" s="173">
        <f t="shared" si="21"/>
        <v>0</v>
      </c>
      <c r="P154" s="173">
        <f t="shared" si="22"/>
        <v>0</v>
      </c>
    </row>
    <row r="155" spans="2:16">
      <c r="C155" s="158" t="s">
        <v>72</v>
      </c>
      <c r="D155" s="115"/>
      <c r="E155" s="115">
        <f>SUM(E99:E154)</f>
        <v>244000</v>
      </c>
      <c r="F155" s="115"/>
      <c r="G155" s="115"/>
      <c r="H155" s="115">
        <f>SUM(H99:H154)</f>
        <v>795525.20601135923</v>
      </c>
      <c r="I155" s="115">
        <f>SUM(I99:I154)</f>
        <v>795525.20601135923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conditionalFormatting sqref="C17:C72">
    <cfRule type="cellIs" dxfId="15" priority="1" stopIfTrue="1" operator="equal">
      <formula>$I$10</formula>
    </cfRule>
  </conditionalFormatting>
  <conditionalFormatting sqref="C99:C154">
    <cfRule type="cellIs" dxfId="14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topLeftCell="A64" zoomScale="78" zoomScaleNormal="78" workbookViewId="0">
      <selection activeCell="D99" sqref="D99:I99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"&amp;RIGHT(MID(CELL("filename",$A$1),FIND("]",CELL("filename",$A$1))+1,256),2)&amp;" of "&amp;COUNT('P.001:P.xyz - blank'!$P$3)-1</f>
        <v>PSO Project 23 of 28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275</v>
      </c>
      <c r="L5" s="119"/>
      <c r="M5" s="120"/>
      <c r="N5" s="121">
        <f>VLOOKUP(I10,C17:I72,5)</f>
        <v>150275.44361099388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276</v>
      </c>
      <c r="L6" s="125"/>
      <c r="M6" s="4"/>
      <c r="N6" s="126">
        <f>VLOOKUP(I10,C17:I72,6)</f>
        <v>150275.44361099388</v>
      </c>
      <c r="O6" s="1"/>
      <c r="P6" s="1"/>
    </row>
    <row r="7" spans="1:16" ht="13.5" thickBot="1">
      <c r="C7" s="127" t="s">
        <v>41</v>
      </c>
      <c r="D7" s="227" t="s">
        <v>286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/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43</v>
      </c>
      <c r="D9" s="229"/>
      <c r="E9" s="427" t="s">
        <v>296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1200324</v>
      </c>
      <c r="E10" s="64" t="s">
        <v>46</v>
      </c>
      <c r="F10" s="137"/>
      <c r="G10" s="139"/>
      <c r="H10" s="139"/>
      <c r="I10" s="140">
        <f>+PSO.WS.F.BPU.ATRR.Projected!L19</f>
        <v>2020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2018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5</v>
      </c>
      <c r="E12" s="141" t="s">
        <v>51</v>
      </c>
      <c r="F12" s="139"/>
      <c r="G12" s="7"/>
      <c r="H12" s="7"/>
      <c r="I12" s="145">
        <f>PSO.WS.F.BPU.ATRR.Projected!$F$81</f>
        <v>0.10800477690995318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42</v>
      </c>
      <c r="E13" s="141" t="s">
        <v>54</v>
      </c>
      <c r="F13" s="139"/>
      <c r="G13" s="7"/>
      <c r="H13" s="7"/>
      <c r="I13" s="145">
        <f>IF(G5="",I12,PSO.WS.F.BPU.ATRR.Projected!$F$80)</f>
        <v>0.10800477690995318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28579.142857142859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277</v>
      </c>
      <c r="H15" s="362" t="s">
        <v>278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2018</v>
      </c>
      <c r="D17" s="464">
        <v>0</v>
      </c>
      <c r="E17" s="467">
        <v>19755.555555555555</v>
      </c>
      <c r="F17" s="465">
        <v>1758244.4444444445</v>
      </c>
      <c r="G17" s="467">
        <v>138731.92205669577</v>
      </c>
      <c r="H17" s="466">
        <v>138731.92205669577</v>
      </c>
      <c r="I17" s="160">
        <f t="shared" ref="I17:I72" si="0">H17-G17</f>
        <v>0</v>
      </c>
      <c r="J17" s="160"/>
      <c r="K17" s="337">
        <f>+G17</f>
        <v>138731.92205669577</v>
      </c>
      <c r="L17" s="161">
        <f t="shared" ref="L17:L72" si="1">IF(K17&lt;&gt;0,+G17-K17,0)</f>
        <v>0</v>
      </c>
      <c r="M17" s="337">
        <f>+H17</f>
        <v>138731.92205669577</v>
      </c>
      <c r="N17" s="161">
        <f t="shared" ref="N17:N72" si="2">IF(M17&lt;&gt;0,+H17-M17,0)</f>
        <v>0</v>
      </c>
      <c r="O17" s="162">
        <f t="shared" ref="O17:O72" si="3">+N17-L17</f>
        <v>0</v>
      </c>
      <c r="P17" s="4"/>
    </row>
    <row r="18" spans="2:16">
      <c r="B18" s="9" t="str">
        <f>IF(D18=F17,"","IU")</f>
        <v/>
      </c>
      <c r="C18" s="157">
        <f>IF(D11="","-",+C17+1)</f>
        <v>2019</v>
      </c>
      <c r="D18" s="419">
        <v>1758244.4444444445</v>
      </c>
      <c r="E18" s="420">
        <v>39511.111111111109</v>
      </c>
      <c r="F18" s="419">
        <v>1718733.3333333335</v>
      </c>
      <c r="G18" s="420">
        <v>274790.21789988282</v>
      </c>
      <c r="H18" s="424">
        <v>274790.21789988282</v>
      </c>
      <c r="I18" s="160">
        <f t="shared" si="0"/>
        <v>0</v>
      </c>
      <c r="J18" s="160"/>
      <c r="K18" s="338">
        <f>G18</f>
        <v>274790.21789988282</v>
      </c>
      <c r="L18" s="175">
        <f>IF(K18&lt;&gt;0,+G18-K18,0)</f>
        <v>0</v>
      </c>
      <c r="M18" s="338">
        <f>H18</f>
        <v>274790.21789988282</v>
      </c>
      <c r="N18" s="160">
        <f>IF(M18&lt;&gt;0,+H18-M18,0)</f>
        <v>0</v>
      </c>
      <c r="O18" s="162">
        <f>+N18-L18</f>
        <v>0</v>
      </c>
      <c r="P18" s="4"/>
    </row>
    <row r="19" spans="2:16">
      <c r="B19" s="9" t="str">
        <f>IF(D19=F18,"","IU")</f>
        <v>IU</v>
      </c>
      <c r="C19" s="157">
        <f>IF(D11="","-",+C18+1)</f>
        <v>2020</v>
      </c>
      <c r="D19" s="166">
        <f>IF(F18+SUM(E$17:E18)=D$10,F18,D$10-SUM(E$17:E18))</f>
        <v>1141057.3333333333</v>
      </c>
      <c r="E19" s="164">
        <f t="shared" ref="E19:E72" si="4">IF(+I$14&lt;F18,I$14,D19)</f>
        <v>28579.142857142859</v>
      </c>
      <c r="F19" s="163">
        <f t="shared" ref="F19:F72" si="5">+D19-E19</f>
        <v>1112478.1904761903</v>
      </c>
      <c r="G19" s="165">
        <f t="shared" ref="G19:G72" si="6">(D19+F19)/2*I$12+E19</f>
        <v>150275.44361099388</v>
      </c>
      <c r="H19" s="147">
        <f t="shared" ref="H19:H72" si="7">+(D19+F19)/2*I$13+E19</f>
        <v>150275.44361099388</v>
      </c>
      <c r="I19" s="160">
        <f t="shared" si="0"/>
        <v>0</v>
      </c>
      <c r="J19" s="160"/>
      <c r="K19" s="335"/>
      <c r="L19" s="162">
        <f t="shared" si="1"/>
        <v>0</v>
      </c>
      <c r="M19" s="335"/>
      <c r="N19" s="162">
        <f t="shared" si="2"/>
        <v>0</v>
      </c>
      <c r="O19" s="162">
        <f t="shared" si="3"/>
        <v>0</v>
      </c>
      <c r="P19" s="4"/>
    </row>
    <row r="20" spans="2:16">
      <c r="B20" s="9" t="str">
        <f t="shared" ref="B20:B72" si="8">IF(D20=F19,"","IU")</f>
        <v/>
      </c>
      <c r="C20" s="157">
        <f>IF(D11="","-",+C19+1)</f>
        <v>2021</v>
      </c>
      <c r="D20" s="166">
        <f>IF(F19+SUM(E$17:E19)=D$10,F19,D$10-SUM(E$17:E19))</f>
        <v>1112478.1904761903</v>
      </c>
      <c r="E20" s="164">
        <f t="shared" si="4"/>
        <v>28579.142857142859</v>
      </c>
      <c r="F20" s="163">
        <f t="shared" si="5"/>
        <v>1083899.0476190473</v>
      </c>
      <c r="G20" s="165">
        <f t="shared" si="6"/>
        <v>147188.7596624305</v>
      </c>
      <c r="H20" s="147">
        <f t="shared" si="7"/>
        <v>147188.7596624305</v>
      </c>
      <c r="I20" s="160">
        <f t="shared" si="0"/>
        <v>0</v>
      </c>
      <c r="J20" s="160"/>
      <c r="K20" s="335"/>
      <c r="L20" s="162">
        <f t="shared" si="1"/>
        <v>0</v>
      </c>
      <c r="M20" s="335"/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8"/>
        <v/>
      </c>
      <c r="C21" s="157">
        <f>IF(D11="","-",+C20+1)</f>
        <v>2022</v>
      </c>
      <c r="D21" s="166">
        <f>IF(F20+SUM(E$17:E20)=D$10,F20,D$10-SUM(E$17:E20))</f>
        <v>1083899.0476190473</v>
      </c>
      <c r="E21" s="164">
        <f t="shared" si="4"/>
        <v>28579.142857142859</v>
      </c>
      <c r="F21" s="163">
        <f t="shared" si="5"/>
        <v>1055319.9047619044</v>
      </c>
      <c r="G21" s="165">
        <f t="shared" si="6"/>
        <v>144102.07571386706</v>
      </c>
      <c r="H21" s="147">
        <f t="shared" si="7"/>
        <v>144102.07571386706</v>
      </c>
      <c r="I21" s="160">
        <f t="shared" si="0"/>
        <v>0</v>
      </c>
      <c r="J21" s="160"/>
      <c r="K21" s="335"/>
      <c r="L21" s="162">
        <f t="shared" si="1"/>
        <v>0</v>
      </c>
      <c r="M21" s="335"/>
      <c r="N21" s="162">
        <f t="shared" si="2"/>
        <v>0</v>
      </c>
      <c r="O21" s="162">
        <f t="shared" si="3"/>
        <v>0</v>
      </c>
      <c r="P21" s="4"/>
    </row>
    <row r="22" spans="2:16">
      <c r="B22" s="9" t="str">
        <f t="shared" si="8"/>
        <v/>
      </c>
      <c r="C22" s="157">
        <f>IF(D11="","-",+C21+1)</f>
        <v>2023</v>
      </c>
      <c r="D22" s="166">
        <f>IF(F21+SUM(E$17:E21)=D$10,F21,D$10-SUM(E$17:E21))</f>
        <v>1055319.9047619044</v>
      </c>
      <c r="E22" s="164">
        <f t="shared" si="4"/>
        <v>28579.142857142859</v>
      </c>
      <c r="F22" s="163">
        <f t="shared" si="5"/>
        <v>1026740.7619047615</v>
      </c>
      <c r="G22" s="165">
        <f t="shared" si="6"/>
        <v>141015.39176530368</v>
      </c>
      <c r="H22" s="147">
        <f t="shared" si="7"/>
        <v>141015.39176530368</v>
      </c>
      <c r="I22" s="160">
        <f t="shared" si="0"/>
        <v>0</v>
      </c>
      <c r="J22" s="160"/>
      <c r="K22" s="335"/>
      <c r="L22" s="162">
        <f t="shared" si="1"/>
        <v>0</v>
      </c>
      <c r="M22" s="335"/>
      <c r="N22" s="162">
        <f t="shared" si="2"/>
        <v>0</v>
      </c>
      <c r="O22" s="162">
        <f t="shared" si="3"/>
        <v>0</v>
      </c>
      <c r="P22" s="4"/>
    </row>
    <row r="23" spans="2:16">
      <c r="B23" s="9" t="str">
        <f t="shared" si="8"/>
        <v/>
      </c>
      <c r="C23" s="157">
        <f>IF(D11="","-",+C22+1)</f>
        <v>2024</v>
      </c>
      <c r="D23" s="166">
        <f>IF(F22+SUM(E$17:E22)=D$10,F22,D$10-SUM(E$17:E22))</f>
        <v>1026740.7619047615</v>
      </c>
      <c r="E23" s="164">
        <f t="shared" si="4"/>
        <v>28579.142857142859</v>
      </c>
      <c r="F23" s="163">
        <f t="shared" si="5"/>
        <v>998161.6190476187</v>
      </c>
      <c r="G23" s="165">
        <f t="shared" si="6"/>
        <v>137928.70781674029</v>
      </c>
      <c r="H23" s="147">
        <f t="shared" si="7"/>
        <v>137928.70781674029</v>
      </c>
      <c r="I23" s="160">
        <f t="shared" si="0"/>
        <v>0</v>
      </c>
      <c r="J23" s="160"/>
      <c r="K23" s="335"/>
      <c r="L23" s="162">
        <f t="shared" si="1"/>
        <v>0</v>
      </c>
      <c r="M23" s="335"/>
      <c r="N23" s="162">
        <f t="shared" si="2"/>
        <v>0</v>
      </c>
      <c r="O23" s="162">
        <f t="shared" si="3"/>
        <v>0</v>
      </c>
      <c r="P23" s="4"/>
    </row>
    <row r="24" spans="2:16">
      <c r="B24" s="9" t="str">
        <f t="shared" si="8"/>
        <v/>
      </c>
      <c r="C24" s="157">
        <f>IF(D11="","-",+C23+1)</f>
        <v>2025</v>
      </c>
      <c r="D24" s="166">
        <f>IF(F23+SUM(E$17:E23)=D$10,F23,D$10-SUM(E$17:E23))</f>
        <v>998161.6190476187</v>
      </c>
      <c r="E24" s="164">
        <f t="shared" si="4"/>
        <v>28579.142857142859</v>
      </c>
      <c r="F24" s="163">
        <f t="shared" si="5"/>
        <v>969582.47619047586</v>
      </c>
      <c r="G24" s="165">
        <f t="shared" si="6"/>
        <v>134842.02386817691</v>
      </c>
      <c r="H24" s="147">
        <f t="shared" si="7"/>
        <v>134842.02386817691</v>
      </c>
      <c r="I24" s="160">
        <f t="shared" si="0"/>
        <v>0</v>
      </c>
      <c r="J24" s="160"/>
      <c r="K24" s="335"/>
      <c r="L24" s="162">
        <f t="shared" si="1"/>
        <v>0</v>
      </c>
      <c r="M24" s="335"/>
      <c r="N24" s="162">
        <f t="shared" si="2"/>
        <v>0</v>
      </c>
      <c r="O24" s="162">
        <f t="shared" si="3"/>
        <v>0</v>
      </c>
      <c r="P24" s="4"/>
    </row>
    <row r="25" spans="2:16">
      <c r="B25" s="9" t="str">
        <f t="shared" si="8"/>
        <v/>
      </c>
      <c r="C25" s="157">
        <f>IF(D11="","-",+C24+1)</f>
        <v>2026</v>
      </c>
      <c r="D25" s="166">
        <f>IF(F24+SUM(E$17:E24)=D$10,F24,D$10-SUM(E$17:E24))</f>
        <v>969582.47619047586</v>
      </c>
      <c r="E25" s="164">
        <f t="shared" si="4"/>
        <v>28579.142857142859</v>
      </c>
      <c r="F25" s="163">
        <f t="shared" si="5"/>
        <v>941003.33333333302</v>
      </c>
      <c r="G25" s="165">
        <f t="shared" si="6"/>
        <v>131755.3399196135</v>
      </c>
      <c r="H25" s="147">
        <f t="shared" si="7"/>
        <v>131755.3399196135</v>
      </c>
      <c r="I25" s="160">
        <f t="shared" si="0"/>
        <v>0</v>
      </c>
      <c r="J25" s="160"/>
      <c r="K25" s="335"/>
      <c r="L25" s="162">
        <f t="shared" si="1"/>
        <v>0</v>
      </c>
      <c r="M25" s="335"/>
      <c r="N25" s="162">
        <f t="shared" si="2"/>
        <v>0</v>
      </c>
      <c r="O25" s="162">
        <f t="shared" si="3"/>
        <v>0</v>
      </c>
      <c r="P25" s="4"/>
    </row>
    <row r="26" spans="2:16">
      <c r="B26" s="9" t="str">
        <f t="shared" si="8"/>
        <v/>
      </c>
      <c r="C26" s="157">
        <f>IF(D11="","-",+C25+1)</f>
        <v>2027</v>
      </c>
      <c r="D26" s="166">
        <f>IF(F25+SUM(E$17:E25)=D$10,F25,D$10-SUM(E$17:E25))</f>
        <v>941003.33333333302</v>
      </c>
      <c r="E26" s="164">
        <f t="shared" si="4"/>
        <v>28579.142857142859</v>
      </c>
      <c r="F26" s="163">
        <f t="shared" si="5"/>
        <v>912424.19047619018</v>
      </c>
      <c r="G26" s="165">
        <f t="shared" si="6"/>
        <v>128668.6559710501</v>
      </c>
      <c r="H26" s="147">
        <f t="shared" si="7"/>
        <v>128668.6559710501</v>
      </c>
      <c r="I26" s="160">
        <f t="shared" si="0"/>
        <v>0</v>
      </c>
      <c r="J26" s="160"/>
      <c r="K26" s="335"/>
      <c r="L26" s="162">
        <f t="shared" si="1"/>
        <v>0</v>
      </c>
      <c r="M26" s="335"/>
      <c r="N26" s="162">
        <f t="shared" si="2"/>
        <v>0</v>
      </c>
      <c r="O26" s="162">
        <f t="shared" si="3"/>
        <v>0</v>
      </c>
      <c r="P26" s="4"/>
    </row>
    <row r="27" spans="2:16">
      <c r="B27" s="9" t="str">
        <f t="shared" si="8"/>
        <v/>
      </c>
      <c r="C27" s="157">
        <f>IF(D11="","-",+C26+1)</f>
        <v>2028</v>
      </c>
      <c r="D27" s="166">
        <f>IF(F26+SUM(E$17:E26)=D$10,F26,D$10-SUM(E$17:E26))</f>
        <v>912424.19047619018</v>
      </c>
      <c r="E27" s="164">
        <f t="shared" si="4"/>
        <v>28579.142857142859</v>
      </c>
      <c r="F27" s="163">
        <f t="shared" si="5"/>
        <v>883845.04761904734</v>
      </c>
      <c r="G27" s="165">
        <f t="shared" si="6"/>
        <v>125581.97202248671</v>
      </c>
      <c r="H27" s="147">
        <f t="shared" si="7"/>
        <v>125581.97202248671</v>
      </c>
      <c r="I27" s="160">
        <f t="shared" si="0"/>
        <v>0</v>
      </c>
      <c r="J27" s="160"/>
      <c r="K27" s="335"/>
      <c r="L27" s="162">
        <f t="shared" si="1"/>
        <v>0</v>
      </c>
      <c r="M27" s="335"/>
      <c r="N27" s="162">
        <f t="shared" si="2"/>
        <v>0</v>
      </c>
      <c r="O27" s="162">
        <f t="shared" si="3"/>
        <v>0</v>
      </c>
      <c r="P27" s="4"/>
    </row>
    <row r="28" spans="2:16">
      <c r="B28" s="9" t="str">
        <f t="shared" si="8"/>
        <v/>
      </c>
      <c r="C28" s="157">
        <f>IF(D11="","-",+C27+1)</f>
        <v>2029</v>
      </c>
      <c r="D28" s="166">
        <f>IF(F27+SUM(E$17:E27)=D$10,F27,D$10-SUM(E$17:E27))</f>
        <v>883845.04761904734</v>
      </c>
      <c r="E28" s="164">
        <f t="shared" si="4"/>
        <v>28579.142857142859</v>
      </c>
      <c r="F28" s="163">
        <f t="shared" si="5"/>
        <v>855265.9047619045</v>
      </c>
      <c r="G28" s="165">
        <f t="shared" si="6"/>
        <v>122495.28807392332</v>
      </c>
      <c r="H28" s="147">
        <f t="shared" si="7"/>
        <v>122495.28807392332</v>
      </c>
      <c r="I28" s="160">
        <f t="shared" si="0"/>
        <v>0</v>
      </c>
      <c r="J28" s="160"/>
      <c r="K28" s="335"/>
      <c r="L28" s="162">
        <f t="shared" si="1"/>
        <v>0</v>
      </c>
      <c r="M28" s="335"/>
      <c r="N28" s="162">
        <f t="shared" si="2"/>
        <v>0</v>
      </c>
      <c r="O28" s="162">
        <f t="shared" si="3"/>
        <v>0</v>
      </c>
      <c r="P28" s="4"/>
    </row>
    <row r="29" spans="2:16">
      <c r="B29" s="9" t="str">
        <f t="shared" si="8"/>
        <v/>
      </c>
      <c r="C29" s="157">
        <f>IF(D11="","-",+C28+1)</f>
        <v>2030</v>
      </c>
      <c r="D29" s="166">
        <f>IF(F28+SUM(E$17:E28)=D$10,F28,D$10-SUM(E$17:E28))</f>
        <v>855265.9047619045</v>
      </c>
      <c r="E29" s="164">
        <f t="shared" si="4"/>
        <v>28579.142857142859</v>
      </c>
      <c r="F29" s="163">
        <f t="shared" si="5"/>
        <v>826686.76190476166</v>
      </c>
      <c r="G29" s="165">
        <f t="shared" si="6"/>
        <v>119408.60412535991</v>
      </c>
      <c r="H29" s="147">
        <f t="shared" si="7"/>
        <v>119408.60412535991</v>
      </c>
      <c r="I29" s="160">
        <f t="shared" si="0"/>
        <v>0</v>
      </c>
      <c r="J29" s="160"/>
      <c r="K29" s="335"/>
      <c r="L29" s="162">
        <f t="shared" si="1"/>
        <v>0</v>
      </c>
      <c r="M29" s="335"/>
      <c r="N29" s="162">
        <f t="shared" si="2"/>
        <v>0</v>
      </c>
      <c r="O29" s="162">
        <f t="shared" si="3"/>
        <v>0</v>
      </c>
      <c r="P29" s="4"/>
    </row>
    <row r="30" spans="2:16">
      <c r="B30" s="9" t="str">
        <f t="shared" si="8"/>
        <v/>
      </c>
      <c r="C30" s="157">
        <f>IF(D11="","-",+C29+1)</f>
        <v>2031</v>
      </c>
      <c r="D30" s="166">
        <f>IF(F29+SUM(E$17:E29)=D$10,F29,D$10-SUM(E$17:E29))</f>
        <v>826686.76190476166</v>
      </c>
      <c r="E30" s="164">
        <f t="shared" si="4"/>
        <v>28579.142857142859</v>
      </c>
      <c r="F30" s="163">
        <f t="shared" si="5"/>
        <v>798107.61904761882</v>
      </c>
      <c r="G30" s="165">
        <f t="shared" si="6"/>
        <v>116321.92017679653</v>
      </c>
      <c r="H30" s="147">
        <f t="shared" si="7"/>
        <v>116321.92017679653</v>
      </c>
      <c r="I30" s="160">
        <f t="shared" si="0"/>
        <v>0</v>
      </c>
      <c r="J30" s="160"/>
      <c r="K30" s="335"/>
      <c r="L30" s="162">
        <f t="shared" si="1"/>
        <v>0</v>
      </c>
      <c r="M30" s="335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8"/>
        <v/>
      </c>
      <c r="C31" s="157">
        <f>IF(D11="","-",+C30+1)</f>
        <v>2032</v>
      </c>
      <c r="D31" s="166">
        <f>IF(F30+SUM(E$17:E30)=D$10,F30,D$10-SUM(E$17:E30))</f>
        <v>798107.61904761882</v>
      </c>
      <c r="E31" s="164">
        <f t="shared" si="4"/>
        <v>28579.142857142859</v>
      </c>
      <c r="F31" s="163">
        <f t="shared" si="5"/>
        <v>769528.47619047598</v>
      </c>
      <c r="G31" s="165">
        <f t="shared" si="6"/>
        <v>113235.23622823312</v>
      </c>
      <c r="H31" s="147">
        <f t="shared" si="7"/>
        <v>113235.23622823312</v>
      </c>
      <c r="I31" s="160">
        <f t="shared" si="0"/>
        <v>0</v>
      </c>
      <c r="J31" s="160"/>
      <c r="K31" s="335"/>
      <c r="L31" s="162">
        <f t="shared" si="1"/>
        <v>0</v>
      </c>
      <c r="M31" s="335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8"/>
        <v/>
      </c>
      <c r="C32" s="157">
        <f>IF(D11="","-",+C31+1)</f>
        <v>2033</v>
      </c>
      <c r="D32" s="166">
        <f>IF(F31+SUM(E$17:E31)=D$10,F31,D$10-SUM(E$17:E31))</f>
        <v>769528.47619047598</v>
      </c>
      <c r="E32" s="164">
        <f t="shared" si="4"/>
        <v>28579.142857142859</v>
      </c>
      <c r="F32" s="163">
        <f t="shared" si="5"/>
        <v>740949.33333333314</v>
      </c>
      <c r="G32" s="165">
        <f t="shared" si="6"/>
        <v>110148.55227966973</v>
      </c>
      <c r="H32" s="147">
        <f t="shared" si="7"/>
        <v>110148.55227966973</v>
      </c>
      <c r="I32" s="160">
        <f t="shared" si="0"/>
        <v>0</v>
      </c>
      <c r="J32" s="160"/>
      <c r="K32" s="335"/>
      <c r="L32" s="162">
        <f t="shared" si="1"/>
        <v>0</v>
      </c>
      <c r="M32" s="335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8"/>
        <v/>
      </c>
      <c r="C33" s="157">
        <f>IF(D11="","-",+C32+1)</f>
        <v>2034</v>
      </c>
      <c r="D33" s="166">
        <f>IF(F32+SUM(E$17:E32)=D$10,F32,D$10-SUM(E$17:E32))</f>
        <v>740949.33333333314</v>
      </c>
      <c r="E33" s="164">
        <f t="shared" si="4"/>
        <v>28579.142857142859</v>
      </c>
      <c r="F33" s="163">
        <f t="shared" si="5"/>
        <v>712370.1904761903</v>
      </c>
      <c r="G33" s="165">
        <f t="shared" si="6"/>
        <v>107061.86833110634</v>
      </c>
      <c r="H33" s="147">
        <f t="shared" si="7"/>
        <v>107061.86833110634</v>
      </c>
      <c r="I33" s="160">
        <f t="shared" si="0"/>
        <v>0</v>
      </c>
      <c r="J33" s="160"/>
      <c r="K33" s="335"/>
      <c r="L33" s="162">
        <f t="shared" si="1"/>
        <v>0</v>
      </c>
      <c r="M33" s="335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8"/>
        <v/>
      </c>
      <c r="C34" s="157">
        <f>IF(D11="","-",+C33+1)</f>
        <v>2035</v>
      </c>
      <c r="D34" s="166">
        <f>IF(F33+SUM(E$17:E33)=D$10,F33,D$10-SUM(E$17:E33))</f>
        <v>712370.1904761903</v>
      </c>
      <c r="E34" s="164">
        <f t="shared" si="4"/>
        <v>28579.142857142859</v>
      </c>
      <c r="F34" s="163">
        <f t="shared" si="5"/>
        <v>683791.04761904746</v>
      </c>
      <c r="G34" s="165">
        <f t="shared" si="6"/>
        <v>103975.18438254295</v>
      </c>
      <c r="H34" s="147">
        <f t="shared" si="7"/>
        <v>103975.18438254295</v>
      </c>
      <c r="I34" s="160">
        <f t="shared" si="0"/>
        <v>0</v>
      </c>
      <c r="J34" s="160"/>
      <c r="K34" s="335"/>
      <c r="L34" s="162">
        <f t="shared" si="1"/>
        <v>0</v>
      </c>
      <c r="M34" s="335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8"/>
        <v/>
      </c>
      <c r="C35" s="157">
        <f>IF(D11="","-",+C34+1)</f>
        <v>2036</v>
      </c>
      <c r="D35" s="166">
        <f>IF(F34+SUM(E$17:E34)=D$10,F34,D$10-SUM(E$17:E34))</f>
        <v>683791.04761904746</v>
      </c>
      <c r="E35" s="164">
        <f t="shared" si="4"/>
        <v>28579.142857142859</v>
      </c>
      <c r="F35" s="163">
        <f t="shared" si="5"/>
        <v>655211.90476190462</v>
      </c>
      <c r="G35" s="165">
        <f t="shared" si="6"/>
        <v>100888.50043397954</v>
      </c>
      <c r="H35" s="147">
        <f t="shared" si="7"/>
        <v>100888.50043397954</v>
      </c>
      <c r="I35" s="160">
        <f t="shared" si="0"/>
        <v>0</v>
      </c>
      <c r="J35" s="160"/>
      <c r="K35" s="335"/>
      <c r="L35" s="162">
        <f t="shared" si="1"/>
        <v>0</v>
      </c>
      <c r="M35" s="335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8"/>
        <v/>
      </c>
      <c r="C36" s="157">
        <f>IF(D11="","-",+C35+1)</f>
        <v>2037</v>
      </c>
      <c r="D36" s="166">
        <f>IF(F35+SUM(E$17:E35)=D$10,F35,D$10-SUM(E$17:E35))</f>
        <v>655211.90476190462</v>
      </c>
      <c r="E36" s="164">
        <f t="shared" si="4"/>
        <v>28579.142857142859</v>
      </c>
      <c r="F36" s="163">
        <f t="shared" si="5"/>
        <v>626632.76190476178</v>
      </c>
      <c r="G36" s="165">
        <f t="shared" si="6"/>
        <v>97801.816485416159</v>
      </c>
      <c r="H36" s="147">
        <f t="shared" si="7"/>
        <v>97801.816485416159</v>
      </c>
      <c r="I36" s="160">
        <f t="shared" si="0"/>
        <v>0</v>
      </c>
      <c r="J36" s="160"/>
      <c r="K36" s="335"/>
      <c r="L36" s="162">
        <f t="shared" si="1"/>
        <v>0</v>
      </c>
      <c r="M36" s="335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8"/>
        <v/>
      </c>
      <c r="C37" s="157">
        <f>IF(D11="","-",+C36+1)</f>
        <v>2038</v>
      </c>
      <c r="D37" s="166">
        <f>IF(F36+SUM(E$17:E36)=D$10,F36,D$10-SUM(E$17:E36))</f>
        <v>626632.76190476178</v>
      </c>
      <c r="E37" s="164">
        <f t="shared" si="4"/>
        <v>28579.142857142859</v>
      </c>
      <c r="F37" s="163">
        <f t="shared" si="5"/>
        <v>598053.61904761894</v>
      </c>
      <c r="G37" s="165">
        <f t="shared" si="6"/>
        <v>94715.132536852761</v>
      </c>
      <c r="H37" s="147">
        <f t="shared" si="7"/>
        <v>94715.132536852761</v>
      </c>
      <c r="I37" s="160">
        <f t="shared" si="0"/>
        <v>0</v>
      </c>
      <c r="J37" s="160"/>
      <c r="K37" s="335"/>
      <c r="L37" s="162">
        <f t="shared" si="1"/>
        <v>0</v>
      </c>
      <c r="M37" s="335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8"/>
        <v/>
      </c>
      <c r="C38" s="157">
        <f>IF(D11="","-",+C37+1)</f>
        <v>2039</v>
      </c>
      <c r="D38" s="166">
        <f>IF(F37+SUM(E$17:E37)=D$10,F37,D$10-SUM(E$17:E37))</f>
        <v>598053.61904761894</v>
      </c>
      <c r="E38" s="164">
        <f t="shared" si="4"/>
        <v>28579.142857142859</v>
      </c>
      <c r="F38" s="163">
        <f t="shared" si="5"/>
        <v>569474.4761904761</v>
      </c>
      <c r="G38" s="165">
        <f t="shared" si="6"/>
        <v>91628.448588289379</v>
      </c>
      <c r="H38" s="147">
        <f t="shared" si="7"/>
        <v>91628.448588289379</v>
      </c>
      <c r="I38" s="160">
        <f t="shared" si="0"/>
        <v>0</v>
      </c>
      <c r="J38" s="160"/>
      <c r="K38" s="335"/>
      <c r="L38" s="162">
        <f t="shared" si="1"/>
        <v>0</v>
      </c>
      <c r="M38" s="335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8"/>
        <v/>
      </c>
      <c r="C39" s="157">
        <f>IF(D11="","-",+C38+1)</f>
        <v>2040</v>
      </c>
      <c r="D39" s="166">
        <f>IF(F38+SUM(E$17:E38)=D$10,F38,D$10-SUM(E$17:E38))</f>
        <v>569474.4761904761</v>
      </c>
      <c r="E39" s="164">
        <f t="shared" si="4"/>
        <v>28579.142857142859</v>
      </c>
      <c r="F39" s="163">
        <f t="shared" si="5"/>
        <v>540895.33333333326</v>
      </c>
      <c r="G39" s="165">
        <f t="shared" si="6"/>
        <v>88541.764639725967</v>
      </c>
      <c r="H39" s="147">
        <f t="shared" si="7"/>
        <v>88541.764639725967</v>
      </c>
      <c r="I39" s="160">
        <f t="shared" si="0"/>
        <v>0</v>
      </c>
      <c r="J39" s="160"/>
      <c r="K39" s="335"/>
      <c r="L39" s="162">
        <f t="shared" si="1"/>
        <v>0</v>
      </c>
      <c r="M39" s="335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8"/>
        <v/>
      </c>
      <c r="C40" s="157">
        <f>IF(D11="","-",+C39+1)</f>
        <v>2041</v>
      </c>
      <c r="D40" s="166">
        <f>IF(F39+SUM(E$17:E39)=D$10,F39,D$10-SUM(E$17:E39))</f>
        <v>540895.33333333326</v>
      </c>
      <c r="E40" s="164">
        <f t="shared" si="4"/>
        <v>28579.142857142859</v>
      </c>
      <c r="F40" s="163">
        <f t="shared" si="5"/>
        <v>512316.19047619042</v>
      </c>
      <c r="G40" s="165">
        <f t="shared" si="6"/>
        <v>85455.080691162584</v>
      </c>
      <c r="H40" s="147">
        <f t="shared" si="7"/>
        <v>85455.080691162584</v>
      </c>
      <c r="I40" s="160">
        <f t="shared" si="0"/>
        <v>0</v>
      </c>
      <c r="J40" s="160"/>
      <c r="K40" s="335"/>
      <c r="L40" s="162">
        <f t="shared" si="1"/>
        <v>0</v>
      </c>
      <c r="M40" s="335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8"/>
        <v/>
      </c>
      <c r="C41" s="157">
        <f>IF(D11="","-",+C40+1)</f>
        <v>2042</v>
      </c>
      <c r="D41" s="166">
        <f>IF(F40+SUM(E$17:E40)=D$10,F40,D$10-SUM(E$17:E40))</f>
        <v>512316.19047619042</v>
      </c>
      <c r="E41" s="164">
        <f t="shared" si="4"/>
        <v>28579.142857142859</v>
      </c>
      <c r="F41" s="163">
        <f t="shared" si="5"/>
        <v>483737.04761904757</v>
      </c>
      <c r="G41" s="165">
        <f t="shared" si="6"/>
        <v>82368.396742599187</v>
      </c>
      <c r="H41" s="147">
        <f t="shared" si="7"/>
        <v>82368.396742599187</v>
      </c>
      <c r="I41" s="160">
        <f t="shared" si="0"/>
        <v>0</v>
      </c>
      <c r="J41" s="160"/>
      <c r="K41" s="335"/>
      <c r="L41" s="162">
        <f t="shared" si="1"/>
        <v>0</v>
      </c>
      <c r="M41" s="335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8"/>
        <v/>
      </c>
      <c r="C42" s="157">
        <f>IF(D11="","-",+C41+1)</f>
        <v>2043</v>
      </c>
      <c r="D42" s="166">
        <f>IF(F41+SUM(E$17:E41)=D$10,F41,D$10-SUM(E$17:E41))</f>
        <v>483737.04761904757</v>
      </c>
      <c r="E42" s="164">
        <f t="shared" si="4"/>
        <v>28579.142857142859</v>
      </c>
      <c r="F42" s="163">
        <f t="shared" si="5"/>
        <v>455157.90476190473</v>
      </c>
      <c r="G42" s="165">
        <f t="shared" si="6"/>
        <v>79281.71279403579</v>
      </c>
      <c r="H42" s="147">
        <f t="shared" si="7"/>
        <v>79281.71279403579</v>
      </c>
      <c r="I42" s="160">
        <f t="shared" si="0"/>
        <v>0</v>
      </c>
      <c r="J42" s="160"/>
      <c r="K42" s="335"/>
      <c r="L42" s="162">
        <f t="shared" si="1"/>
        <v>0</v>
      </c>
      <c r="M42" s="335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8"/>
        <v/>
      </c>
      <c r="C43" s="157">
        <f>IF(D11="","-",+C42+1)</f>
        <v>2044</v>
      </c>
      <c r="D43" s="166">
        <f>IF(F42+SUM(E$17:E42)=D$10,F42,D$10-SUM(E$17:E42))</f>
        <v>455157.90476190473</v>
      </c>
      <c r="E43" s="164">
        <f t="shared" si="4"/>
        <v>28579.142857142859</v>
      </c>
      <c r="F43" s="163">
        <f t="shared" si="5"/>
        <v>426578.76190476189</v>
      </c>
      <c r="G43" s="165">
        <f t="shared" si="6"/>
        <v>76195.028845472392</v>
      </c>
      <c r="H43" s="147">
        <f t="shared" si="7"/>
        <v>76195.028845472392</v>
      </c>
      <c r="I43" s="160">
        <f t="shared" si="0"/>
        <v>0</v>
      </c>
      <c r="J43" s="160"/>
      <c r="K43" s="335"/>
      <c r="L43" s="162">
        <f t="shared" si="1"/>
        <v>0</v>
      </c>
      <c r="M43" s="335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8"/>
        <v/>
      </c>
      <c r="C44" s="157">
        <f>IF(D11="","-",+C43+1)</f>
        <v>2045</v>
      </c>
      <c r="D44" s="166">
        <f>IF(F43+SUM(E$17:E43)=D$10,F43,D$10-SUM(E$17:E43))</f>
        <v>426578.76190476189</v>
      </c>
      <c r="E44" s="164">
        <f t="shared" si="4"/>
        <v>28579.142857142859</v>
      </c>
      <c r="F44" s="163">
        <f t="shared" si="5"/>
        <v>397999.61904761905</v>
      </c>
      <c r="G44" s="165">
        <f t="shared" si="6"/>
        <v>73108.34489690901</v>
      </c>
      <c r="H44" s="147">
        <f t="shared" si="7"/>
        <v>73108.34489690901</v>
      </c>
      <c r="I44" s="160">
        <f t="shared" si="0"/>
        <v>0</v>
      </c>
      <c r="J44" s="160"/>
      <c r="K44" s="335"/>
      <c r="L44" s="162">
        <f t="shared" si="1"/>
        <v>0</v>
      </c>
      <c r="M44" s="335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8"/>
        <v/>
      </c>
      <c r="C45" s="157">
        <f>IF(D11="","-",+C44+1)</f>
        <v>2046</v>
      </c>
      <c r="D45" s="166">
        <f>IF(F44+SUM(E$17:E44)=D$10,F44,D$10-SUM(E$17:E44))</f>
        <v>397999.61904761905</v>
      </c>
      <c r="E45" s="164">
        <f t="shared" si="4"/>
        <v>28579.142857142859</v>
      </c>
      <c r="F45" s="163">
        <f t="shared" si="5"/>
        <v>369420.47619047621</v>
      </c>
      <c r="G45" s="165">
        <f t="shared" si="6"/>
        <v>70021.660948345612</v>
      </c>
      <c r="H45" s="147">
        <f t="shared" si="7"/>
        <v>70021.660948345612</v>
      </c>
      <c r="I45" s="160">
        <f t="shared" si="0"/>
        <v>0</v>
      </c>
      <c r="J45" s="160"/>
      <c r="K45" s="335"/>
      <c r="L45" s="162">
        <f t="shared" si="1"/>
        <v>0</v>
      </c>
      <c r="M45" s="335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8"/>
        <v/>
      </c>
      <c r="C46" s="157">
        <f>IF(D11="","-",+C45+1)</f>
        <v>2047</v>
      </c>
      <c r="D46" s="166">
        <f>IF(F45+SUM(E$17:E45)=D$10,F45,D$10-SUM(E$17:E45))</f>
        <v>369420.47619047621</v>
      </c>
      <c r="E46" s="164">
        <f t="shared" si="4"/>
        <v>28579.142857142859</v>
      </c>
      <c r="F46" s="163">
        <f t="shared" si="5"/>
        <v>340841.33333333337</v>
      </c>
      <c r="G46" s="165">
        <f t="shared" si="6"/>
        <v>66934.976999782215</v>
      </c>
      <c r="H46" s="147">
        <f t="shared" si="7"/>
        <v>66934.976999782215</v>
      </c>
      <c r="I46" s="160">
        <f t="shared" si="0"/>
        <v>0</v>
      </c>
      <c r="J46" s="160"/>
      <c r="K46" s="335"/>
      <c r="L46" s="162">
        <f t="shared" si="1"/>
        <v>0</v>
      </c>
      <c r="M46" s="335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8"/>
        <v/>
      </c>
      <c r="C47" s="157">
        <f>IF(D11="","-",+C46+1)</f>
        <v>2048</v>
      </c>
      <c r="D47" s="166">
        <f>IF(F46+SUM(E$17:E46)=D$10,F46,D$10-SUM(E$17:E46))</f>
        <v>340841.33333333337</v>
      </c>
      <c r="E47" s="164">
        <f t="shared" si="4"/>
        <v>28579.142857142859</v>
      </c>
      <c r="F47" s="163">
        <f t="shared" si="5"/>
        <v>312262.19047619053</v>
      </c>
      <c r="G47" s="165">
        <f t="shared" si="6"/>
        <v>63848.293051218818</v>
      </c>
      <c r="H47" s="147">
        <f t="shared" si="7"/>
        <v>63848.293051218818</v>
      </c>
      <c r="I47" s="160">
        <f t="shared" si="0"/>
        <v>0</v>
      </c>
      <c r="J47" s="160"/>
      <c r="K47" s="335"/>
      <c r="L47" s="162">
        <f t="shared" si="1"/>
        <v>0</v>
      </c>
      <c r="M47" s="335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8"/>
        <v/>
      </c>
      <c r="C48" s="157">
        <f>IF(D11="","-",+C47+1)</f>
        <v>2049</v>
      </c>
      <c r="D48" s="166">
        <f>IF(F47+SUM(E$17:E47)=D$10,F47,D$10-SUM(E$17:E47))</f>
        <v>312262.19047619053</v>
      </c>
      <c r="E48" s="164">
        <f t="shared" si="4"/>
        <v>28579.142857142859</v>
      </c>
      <c r="F48" s="163">
        <f t="shared" si="5"/>
        <v>283683.04761904769</v>
      </c>
      <c r="G48" s="165">
        <f t="shared" si="6"/>
        <v>60761.609102655428</v>
      </c>
      <c r="H48" s="147">
        <f t="shared" si="7"/>
        <v>60761.609102655428</v>
      </c>
      <c r="I48" s="160">
        <f t="shared" si="0"/>
        <v>0</v>
      </c>
      <c r="J48" s="160"/>
      <c r="K48" s="335"/>
      <c r="L48" s="162">
        <f t="shared" si="1"/>
        <v>0</v>
      </c>
      <c r="M48" s="335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8"/>
        <v/>
      </c>
      <c r="C49" s="157">
        <f>IF(D11="","-",+C48+1)</f>
        <v>2050</v>
      </c>
      <c r="D49" s="166">
        <f>IF(F48+SUM(E$17:E48)=D$10,F48,D$10-SUM(E$17:E48))</f>
        <v>283683.04761904769</v>
      </c>
      <c r="E49" s="164">
        <f t="shared" si="4"/>
        <v>28579.142857142859</v>
      </c>
      <c r="F49" s="163">
        <f t="shared" si="5"/>
        <v>255103.90476190482</v>
      </c>
      <c r="G49" s="165">
        <f t="shared" si="6"/>
        <v>57674.92515409203</v>
      </c>
      <c r="H49" s="147">
        <f t="shared" si="7"/>
        <v>57674.92515409203</v>
      </c>
      <c r="I49" s="160">
        <f t="shared" si="0"/>
        <v>0</v>
      </c>
      <c r="J49" s="160"/>
      <c r="K49" s="335"/>
      <c r="L49" s="162">
        <f t="shared" si="1"/>
        <v>0</v>
      </c>
      <c r="M49" s="335"/>
      <c r="N49" s="162">
        <f t="shared" si="2"/>
        <v>0</v>
      </c>
      <c r="O49" s="162">
        <f t="shared" si="3"/>
        <v>0</v>
      </c>
      <c r="P49" s="4"/>
    </row>
    <row r="50" spans="2:16">
      <c r="B50" s="9" t="str">
        <f t="shared" si="8"/>
        <v/>
      </c>
      <c r="C50" s="157">
        <f>IF(D11="","-",+C49+1)</f>
        <v>2051</v>
      </c>
      <c r="D50" s="166">
        <f>IF(F49+SUM(E$17:E49)=D$10,F49,D$10-SUM(E$17:E49))</f>
        <v>255103.90476190482</v>
      </c>
      <c r="E50" s="164">
        <f t="shared" si="4"/>
        <v>28579.142857142859</v>
      </c>
      <c r="F50" s="163">
        <f t="shared" si="5"/>
        <v>226524.76190476195</v>
      </c>
      <c r="G50" s="165">
        <f t="shared" si="6"/>
        <v>54588.241205528626</v>
      </c>
      <c r="H50" s="147">
        <f t="shared" si="7"/>
        <v>54588.241205528626</v>
      </c>
      <c r="I50" s="160">
        <f t="shared" si="0"/>
        <v>0</v>
      </c>
      <c r="J50" s="160"/>
      <c r="K50" s="335"/>
      <c r="L50" s="162">
        <f t="shared" si="1"/>
        <v>0</v>
      </c>
      <c r="M50" s="335"/>
      <c r="N50" s="162">
        <f t="shared" si="2"/>
        <v>0</v>
      </c>
      <c r="O50" s="162">
        <f t="shared" si="3"/>
        <v>0</v>
      </c>
      <c r="P50" s="4"/>
    </row>
    <row r="51" spans="2:16">
      <c r="B51" s="9" t="str">
        <f t="shared" si="8"/>
        <v/>
      </c>
      <c r="C51" s="157">
        <f>IF(D11="","-",+C50+1)</f>
        <v>2052</v>
      </c>
      <c r="D51" s="166">
        <f>IF(F50+SUM(E$17:E50)=D$10,F50,D$10-SUM(E$17:E50))</f>
        <v>226524.76190476195</v>
      </c>
      <c r="E51" s="164">
        <f t="shared" si="4"/>
        <v>28579.142857142859</v>
      </c>
      <c r="F51" s="163">
        <f t="shared" si="5"/>
        <v>197945.61904761908</v>
      </c>
      <c r="G51" s="165">
        <f t="shared" si="6"/>
        <v>51501.557256965236</v>
      </c>
      <c r="H51" s="147">
        <f t="shared" si="7"/>
        <v>51501.557256965236</v>
      </c>
      <c r="I51" s="160">
        <f t="shared" si="0"/>
        <v>0</v>
      </c>
      <c r="J51" s="160"/>
      <c r="K51" s="335"/>
      <c r="L51" s="162">
        <f t="shared" si="1"/>
        <v>0</v>
      </c>
      <c r="M51" s="335"/>
      <c r="N51" s="162">
        <f t="shared" si="2"/>
        <v>0</v>
      </c>
      <c r="O51" s="162">
        <f t="shared" si="3"/>
        <v>0</v>
      </c>
      <c r="P51" s="4"/>
    </row>
    <row r="52" spans="2:16">
      <c r="B52" s="9" t="str">
        <f t="shared" si="8"/>
        <v/>
      </c>
      <c r="C52" s="157">
        <f>IF(D11="","-",+C51+1)</f>
        <v>2053</v>
      </c>
      <c r="D52" s="166">
        <f>IF(F51+SUM(E$17:E51)=D$10,F51,D$10-SUM(E$17:E51))</f>
        <v>197945.61904761908</v>
      </c>
      <c r="E52" s="164">
        <f t="shared" si="4"/>
        <v>28579.142857142859</v>
      </c>
      <c r="F52" s="163">
        <f t="shared" si="5"/>
        <v>169366.47619047621</v>
      </c>
      <c r="G52" s="165">
        <f t="shared" si="6"/>
        <v>48414.873308401831</v>
      </c>
      <c r="H52" s="147">
        <f t="shared" si="7"/>
        <v>48414.873308401831</v>
      </c>
      <c r="I52" s="160">
        <f t="shared" si="0"/>
        <v>0</v>
      </c>
      <c r="J52" s="160"/>
      <c r="K52" s="335"/>
      <c r="L52" s="162">
        <f t="shared" si="1"/>
        <v>0</v>
      </c>
      <c r="M52" s="335"/>
      <c r="N52" s="162">
        <f t="shared" si="2"/>
        <v>0</v>
      </c>
      <c r="O52" s="162">
        <f t="shared" si="3"/>
        <v>0</v>
      </c>
      <c r="P52" s="4"/>
    </row>
    <row r="53" spans="2:16">
      <c r="B53" s="9" t="str">
        <f t="shared" si="8"/>
        <v/>
      </c>
      <c r="C53" s="157">
        <f>IF(D11="","-",+C52+1)</f>
        <v>2054</v>
      </c>
      <c r="D53" s="166">
        <f>IF(F52+SUM(E$17:E52)=D$10,F52,D$10-SUM(E$17:E52))</f>
        <v>169366.47619047621</v>
      </c>
      <c r="E53" s="164">
        <f t="shared" si="4"/>
        <v>28579.142857142859</v>
      </c>
      <c r="F53" s="163">
        <f t="shared" si="5"/>
        <v>140787.33333333334</v>
      </c>
      <c r="G53" s="165">
        <f t="shared" si="6"/>
        <v>45328.189359838441</v>
      </c>
      <c r="H53" s="147">
        <f t="shared" si="7"/>
        <v>45328.189359838441</v>
      </c>
      <c r="I53" s="160">
        <f t="shared" si="0"/>
        <v>0</v>
      </c>
      <c r="J53" s="160"/>
      <c r="K53" s="335"/>
      <c r="L53" s="162">
        <f t="shared" si="1"/>
        <v>0</v>
      </c>
      <c r="M53" s="335"/>
      <c r="N53" s="162">
        <f t="shared" si="2"/>
        <v>0</v>
      </c>
      <c r="O53" s="162">
        <f t="shared" si="3"/>
        <v>0</v>
      </c>
      <c r="P53" s="4"/>
    </row>
    <row r="54" spans="2:16">
      <c r="B54" s="9" t="str">
        <f t="shared" si="8"/>
        <v/>
      </c>
      <c r="C54" s="157">
        <f>IF(D11="","-",+C53+1)</f>
        <v>2055</v>
      </c>
      <c r="D54" s="166">
        <f>IF(F53+SUM(E$17:E53)=D$10,F53,D$10-SUM(E$17:E53))</f>
        <v>140787.33333333334</v>
      </c>
      <c r="E54" s="164">
        <f t="shared" si="4"/>
        <v>28579.142857142859</v>
      </c>
      <c r="F54" s="163">
        <f t="shared" si="5"/>
        <v>112208.19047619049</v>
      </c>
      <c r="G54" s="165">
        <f t="shared" si="6"/>
        <v>42241.505411275044</v>
      </c>
      <c r="H54" s="147">
        <f t="shared" si="7"/>
        <v>42241.505411275044</v>
      </c>
      <c r="I54" s="160">
        <f t="shared" si="0"/>
        <v>0</v>
      </c>
      <c r="J54" s="160"/>
      <c r="K54" s="335"/>
      <c r="L54" s="162">
        <f t="shared" si="1"/>
        <v>0</v>
      </c>
      <c r="M54" s="335"/>
      <c r="N54" s="162">
        <f t="shared" si="2"/>
        <v>0</v>
      </c>
      <c r="O54" s="162">
        <f t="shared" si="3"/>
        <v>0</v>
      </c>
      <c r="P54" s="4"/>
    </row>
    <row r="55" spans="2:16">
      <c r="B55" s="9" t="str">
        <f t="shared" si="8"/>
        <v/>
      </c>
      <c r="C55" s="157">
        <f>IF(D11="","-",+C54+1)</f>
        <v>2056</v>
      </c>
      <c r="D55" s="166">
        <f>IF(F54+SUM(E$17:E54)=D$10,F54,D$10-SUM(E$17:E54))</f>
        <v>112208.19047619049</v>
      </c>
      <c r="E55" s="164">
        <f t="shared" si="4"/>
        <v>28579.142857142859</v>
      </c>
      <c r="F55" s="163">
        <f t="shared" si="5"/>
        <v>83629.047619047633</v>
      </c>
      <c r="G55" s="165">
        <f t="shared" si="6"/>
        <v>39154.821462711647</v>
      </c>
      <c r="H55" s="147">
        <f t="shared" si="7"/>
        <v>39154.821462711647</v>
      </c>
      <c r="I55" s="160">
        <f t="shared" si="0"/>
        <v>0</v>
      </c>
      <c r="J55" s="160"/>
      <c r="K55" s="335"/>
      <c r="L55" s="162">
        <f t="shared" si="1"/>
        <v>0</v>
      </c>
      <c r="M55" s="335"/>
      <c r="N55" s="162">
        <f t="shared" si="2"/>
        <v>0</v>
      </c>
      <c r="O55" s="162">
        <f t="shared" si="3"/>
        <v>0</v>
      </c>
      <c r="P55" s="4"/>
    </row>
    <row r="56" spans="2:16">
      <c r="B56" s="9" t="str">
        <f t="shared" si="8"/>
        <v/>
      </c>
      <c r="C56" s="157">
        <f>IF(D11="","-",+C55+1)</f>
        <v>2057</v>
      </c>
      <c r="D56" s="166">
        <f>IF(F55+SUM(E$17:E55)=D$10,F55,D$10-SUM(E$17:E55))</f>
        <v>83629.047619047633</v>
      </c>
      <c r="E56" s="164">
        <f t="shared" si="4"/>
        <v>28579.142857142859</v>
      </c>
      <c r="F56" s="163">
        <f t="shared" si="5"/>
        <v>55049.904761904778</v>
      </c>
      <c r="G56" s="165">
        <f t="shared" si="6"/>
        <v>36068.137514148249</v>
      </c>
      <c r="H56" s="147">
        <f t="shared" si="7"/>
        <v>36068.137514148249</v>
      </c>
      <c r="I56" s="160">
        <f t="shared" si="0"/>
        <v>0</v>
      </c>
      <c r="J56" s="160"/>
      <c r="K56" s="335"/>
      <c r="L56" s="162">
        <f t="shared" si="1"/>
        <v>0</v>
      </c>
      <c r="M56" s="335"/>
      <c r="N56" s="162">
        <f t="shared" si="2"/>
        <v>0</v>
      </c>
      <c r="O56" s="162">
        <f t="shared" si="3"/>
        <v>0</v>
      </c>
      <c r="P56" s="4"/>
    </row>
    <row r="57" spans="2:16">
      <c r="B57" s="9" t="str">
        <f t="shared" si="8"/>
        <v/>
      </c>
      <c r="C57" s="157">
        <f>IF(D11="","-",+C56+1)</f>
        <v>2058</v>
      </c>
      <c r="D57" s="166">
        <f>IF(F56+SUM(E$17:E56)=D$10,F56,D$10-SUM(E$17:E56))</f>
        <v>55049.904761904778</v>
      </c>
      <c r="E57" s="164">
        <f t="shared" si="4"/>
        <v>28579.142857142859</v>
      </c>
      <c r="F57" s="163">
        <f t="shared" si="5"/>
        <v>26470.761904761919</v>
      </c>
      <c r="G57" s="165">
        <f t="shared" si="6"/>
        <v>32981.453565584859</v>
      </c>
      <c r="H57" s="147">
        <f t="shared" si="7"/>
        <v>32981.453565584859</v>
      </c>
      <c r="I57" s="160">
        <f t="shared" si="0"/>
        <v>0</v>
      </c>
      <c r="J57" s="160"/>
      <c r="K57" s="335"/>
      <c r="L57" s="162">
        <f t="shared" si="1"/>
        <v>0</v>
      </c>
      <c r="M57" s="335"/>
      <c r="N57" s="162">
        <f t="shared" si="2"/>
        <v>0</v>
      </c>
      <c r="O57" s="162">
        <f t="shared" si="3"/>
        <v>0</v>
      </c>
      <c r="P57" s="4"/>
    </row>
    <row r="58" spans="2:16">
      <c r="B58" s="9" t="str">
        <f t="shared" si="8"/>
        <v/>
      </c>
      <c r="C58" s="157">
        <f>IF(D11="","-",+C57+1)</f>
        <v>2059</v>
      </c>
      <c r="D58" s="166">
        <f>IF(F57+SUM(E$17:E57)=D$10,F57,D$10-SUM(E$17:E57))</f>
        <v>26470.761904761919</v>
      </c>
      <c r="E58" s="164">
        <f t="shared" si="4"/>
        <v>26470.761904761919</v>
      </c>
      <c r="F58" s="163">
        <f t="shared" si="5"/>
        <v>0</v>
      </c>
      <c r="G58" s="165">
        <f t="shared" si="6"/>
        <v>27900.246271842068</v>
      </c>
      <c r="H58" s="147">
        <f t="shared" si="7"/>
        <v>27900.246271842068</v>
      </c>
      <c r="I58" s="160">
        <f t="shared" si="0"/>
        <v>0</v>
      </c>
      <c r="J58" s="160"/>
      <c r="K58" s="335"/>
      <c r="L58" s="162">
        <f t="shared" si="1"/>
        <v>0</v>
      </c>
      <c r="M58" s="335"/>
      <c r="N58" s="162">
        <f t="shared" si="2"/>
        <v>0</v>
      </c>
      <c r="O58" s="162">
        <f t="shared" si="3"/>
        <v>0</v>
      </c>
      <c r="P58" s="4"/>
    </row>
    <row r="59" spans="2:16">
      <c r="B59" s="9" t="str">
        <f t="shared" si="8"/>
        <v/>
      </c>
      <c r="C59" s="157">
        <f>IF(D11="","-",+C58+1)</f>
        <v>2060</v>
      </c>
      <c r="D59" s="166">
        <f>IF(F58+SUM(E$17:E58)=D$10,F58,D$10-SUM(E$17:E58))</f>
        <v>0</v>
      </c>
      <c r="E59" s="164">
        <f t="shared" si="4"/>
        <v>0</v>
      </c>
      <c r="F59" s="163">
        <f t="shared" si="5"/>
        <v>0</v>
      </c>
      <c r="G59" s="165">
        <f t="shared" si="6"/>
        <v>0</v>
      </c>
      <c r="H59" s="147">
        <f t="shared" si="7"/>
        <v>0</v>
      </c>
      <c r="I59" s="160">
        <f t="shared" si="0"/>
        <v>0</v>
      </c>
      <c r="J59" s="160"/>
      <c r="K59" s="335"/>
      <c r="L59" s="162">
        <f t="shared" si="1"/>
        <v>0</v>
      </c>
      <c r="M59" s="335"/>
      <c r="N59" s="162">
        <f t="shared" si="2"/>
        <v>0</v>
      </c>
      <c r="O59" s="162">
        <f t="shared" si="3"/>
        <v>0</v>
      </c>
      <c r="P59" s="4"/>
    </row>
    <row r="60" spans="2:16">
      <c r="B60" s="9" t="str">
        <f t="shared" si="8"/>
        <v/>
      </c>
      <c r="C60" s="157">
        <f>IF(D11="","-",+C59+1)</f>
        <v>2061</v>
      </c>
      <c r="D60" s="166">
        <f>IF(F59+SUM(E$17:E59)=D$10,F59,D$10-SUM(E$17:E59))</f>
        <v>0</v>
      </c>
      <c r="E60" s="164">
        <f t="shared" si="4"/>
        <v>0</v>
      </c>
      <c r="F60" s="163">
        <f t="shared" si="5"/>
        <v>0</v>
      </c>
      <c r="G60" s="165">
        <f t="shared" si="6"/>
        <v>0</v>
      </c>
      <c r="H60" s="147">
        <f t="shared" si="7"/>
        <v>0</v>
      </c>
      <c r="I60" s="160">
        <f t="shared" si="0"/>
        <v>0</v>
      </c>
      <c r="J60" s="160"/>
      <c r="K60" s="335"/>
      <c r="L60" s="162">
        <f t="shared" si="1"/>
        <v>0</v>
      </c>
      <c r="M60" s="335"/>
      <c r="N60" s="162">
        <f t="shared" si="2"/>
        <v>0</v>
      </c>
      <c r="O60" s="162">
        <f t="shared" si="3"/>
        <v>0</v>
      </c>
      <c r="P60" s="4"/>
    </row>
    <row r="61" spans="2:16">
      <c r="B61" s="9" t="str">
        <f t="shared" si="8"/>
        <v/>
      </c>
      <c r="C61" s="157">
        <f>IF(D11="","-",+C60+1)</f>
        <v>2062</v>
      </c>
      <c r="D61" s="166">
        <f>IF(F60+SUM(E$17:E60)=D$10,F60,D$10-SUM(E$17:E60))</f>
        <v>0</v>
      </c>
      <c r="E61" s="164">
        <f t="shared" si="4"/>
        <v>0</v>
      </c>
      <c r="F61" s="163">
        <f t="shared" si="5"/>
        <v>0</v>
      </c>
      <c r="G61" s="165">
        <f t="shared" si="6"/>
        <v>0</v>
      </c>
      <c r="H61" s="147">
        <f t="shared" si="7"/>
        <v>0</v>
      </c>
      <c r="I61" s="160">
        <f t="shared" si="0"/>
        <v>0</v>
      </c>
      <c r="J61" s="160"/>
      <c r="K61" s="335"/>
      <c r="L61" s="162">
        <f t="shared" si="1"/>
        <v>0</v>
      </c>
      <c r="M61" s="335"/>
      <c r="N61" s="162">
        <f t="shared" si="2"/>
        <v>0</v>
      </c>
      <c r="O61" s="162">
        <f t="shared" si="3"/>
        <v>0</v>
      </c>
      <c r="P61" s="4"/>
    </row>
    <row r="62" spans="2:16">
      <c r="B62" s="9" t="str">
        <f t="shared" si="8"/>
        <v/>
      </c>
      <c r="C62" s="157">
        <f>IF(D11="","-",+C61+1)</f>
        <v>2063</v>
      </c>
      <c r="D62" s="166">
        <f>IF(F61+SUM(E$17:E61)=D$10,F61,D$10-SUM(E$17:E61))</f>
        <v>0</v>
      </c>
      <c r="E62" s="164">
        <f t="shared" si="4"/>
        <v>0</v>
      </c>
      <c r="F62" s="163">
        <f t="shared" si="5"/>
        <v>0</v>
      </c>
      <c r="G62" s="165">
        <f t="shared" si="6"/>
        <v>0</v>
      </c>
      <c r="H62" s="147">
        <f t="shared" si="7"/>
        <v>0</v>
      </c>
      <c r="I62" s="160">
        <f t="shared" si="0"/>
        <v>0</v>
      </c>
      <c r="J62" s="160"/>
      <c r="K62" s="335"/>
      <c r="L62" s="162">
        <f t="shared" si="1"/>
        <v>0</v>
      </c>
      <c r="M62" s="335"/>
      <c r="N62" s="162">
        <f t="shared" si="2"/>
        <v>0</v>
      </c>
      <c r="O62" s="162">
        <f t="shared" si="3"/>
        <v>0</v>
      </c>
      <c r="P62" s="4"/>
    </row>
    <row r="63" spans="2:16">
      <c r="B63" s="9" t="str">
        <f t="shared" si="8"/>
        <v/>
      </c>
      <c r="C63" s="157">
        <f>IF(D11="","-",+C62+1)</f>
        <v>2064</v>
      </c>
      <c r="D63" s="166">
        <f>IF(F62+SUM(E$17:E62)=D$10,F62,D$10-SUM(E$17:E62))</f>
        <v>0</v>
      </c>
      <c r="E63" s="164">
        <f t="shared" si="4"/>
        <v>0</v>
      </c>
      <c r="F63" s="163">
        <f t="shared" si="5"/>
        <v>0</v>
      </c>
      <c r="G63" s="165">
        <f t="shared" si="6"/>
        <v>0</v>
      </c>
      <c r="H63" s="147">
        <f t="shared" si="7"/>
        <v>0</v>
      </c>
      <c r="I63" s="160">
        <f t="shared" si="0"/>
        <v>0</v>
      </c>
      <c r="J63" s="160"/>
      <c r="K63" s="335"/>
      <c r="L63" s="162">
        <f t="shared" si="1"/>
        <v>0</v>
      </c>
      <c r="M63" s="335"/>
      <c r="N63" s="162">
        <f t="shared" si="2"/>
        <v>0</v>
      </c>
      <c r="O63" s="162">
        <f t="shared" si="3"/>
        <v>0</v>
      </c>
      <c r="P63" s="4"/>
    </row>
    <row r="64" spans="2:16">
      <c r="B64" s="9" t="str">
        <f t="shared" si="8"/>
        <v/>
      </c>
      <c r="C64" s="157">
        <f>IF(D11="","-",+C63+1)</f>
        <v>2065</v>
      </c>
      <c r="D64" s="166">
        <f>IF(F63+SUM(E$17:E63)=D$10,F63,D$10-SUM(E$17:E63))</f>
        <v>0</v>
      </c>
      <c r="E64" s="164">
        <f t="shared" si="4"/>
        <v>0</v>
      </c>
      <c r="F64" s="163">
        <f t="shared" si="5"/>
        <v>0</v>
      </c>
      <c r="G64" s="165">
        <f t="shared" si="6"/>
        <v>0</v>
      </c>
      <c r="H64" s="147">
        <f t="shared" si="7"/>
        <v>0</v>
      </c>
      <c r="I64" s="160">
        <f t="shared" si="0"/>
        <v>0</v>
      </c>
      <c r="J64" s="160"/>
      <c r="K64" s="335"/>
      <c r="L64" s="162">
        <f t="shared" si="1"/>
        <v>0</v>
      </c>
      <c r="M64" s="335"/>
      <c r="N64" s="162">
        <f t="shared" si="2"/>
        <v>0</v>
      </c>
      <c r="O64" s="162">
        <f t="shared" si="3"/>
        <v>0</v>
      </c>
      <c r="P64" s="4"/>
    </row>
    <row r="65" spans="2:16">
      <c r="B65" s="9" t="str">
        <f t="shared" si="8"/>
        <v/>
      </c>
      <c r="C65" s="157">
        <f>IF(D11="","-",+C64+1)</f>
        <v>2066</v>
      </c>
      <c r="D65" s="166">
        <f>IF(F64+SUM(E$17:E64)=D$10,F64,D$10-SUM(E$17:E64))</f>
        <v>0</v>
      </c>
      <c r="E65" s="164">
        <f t="shared" si="4"/>
        <v>0</v>
      </c>
      <c r="F65" s="163">
        <f t="shared" si="5"/>
        <v>0</v>
      </c>
      <c r="G65" s="165">
        <f t="shared" si="6"/>
        <v>0</v>
      </c>
      <c r="H65" s="147">
        <f t="shared" si="7"/>
        <v>0</v>
      </c>
      <c r="I65" s="160">
        <f t="shared" si="0"/>
        <v>0</v>
      </c>
      <c r="J65" s="160"/>
      <c r="K65" s="335"/>
      <c r="L65" s="162">
        <f t="shared" si="1"/>
        <v>0</v>
      </c>
      <c r="M65" s="335"/>
      <c r="N65" s="162">
        <f t="shared" si="2"/>
        <v>0</v>
      </c>
      <c r="O65" s="162">
        <f t="shared" si="3"/>
        <v>0</v>
      </c>
      <c r="P65" s="4"/>
    </row>
    <row r="66" spans="2:16">
      <c r="B66" s="9" t="str">
        <f t="shared" si="8"/>
        <v/>
      </c>
      <c r="C66" s="157">
        <f>IF(D11="","-",+C65+1)</f>
        <v>2067</v>
      </c>
      <c r="D66" s="166">
        <f>IF(F65+SUM(E$17:E65)=D$10,F65,D$10-SUM(E$17:E65))</f>
        <v>0</v>
      </c>
      <c r="E66" s="164">
        <f t="shared" si="4"/>
        <v>0</v>
      </c>
      <c r="F66" s="163">
        <f t="shared" si="5"/>
        <v>0</v>
      </c>
      <c r="G66" s="165">
        <f t="shared" si="6"/>
        <v>0</v>
      </c>
      <c r="H66" s="147">
        <f t="shared" si="7"/>
        <v>0</v>
      </c>
      <c r="I66" s="160">
        <f t="shared" si="0"/>
        <v>0</v>
      </c>
      <c r="J66" s="160"/>
      <c r="K66" s="335"/>
      <c r="L66" s="162">
        <f t="shared" si="1"/>
        <v>0</v>
      </c>
      <c r="M66" s="335"/>
      <c r="N66" s="162">
        <f t="shared" si="2"/>
        <v>0</v>
      </c>
      <c r="O66" s="162">
        <f t="shared" si="3"/>
        <v>0</v>
      </c>
      <c r="P66" s="4"/>
    </row>
    <row r="67" spans="2:16">
      <c r="B67" s="9" t="str">
        <f t="shared" si="8"/>
        <v/>
      </c>
      <c r="C67" s="157">
        <f>IF(D11="","-",+C66+1)</f>
        <v>2068</v>
      </c>
      <c r="D67" s="166">
        <f>IF(F66+SUM(E$17:E66)=D$10,F66,D$10-SUM(E$17:E66))</f>
        <v>0</v>
      </c>
      <c r="E67" s="164">
        <f t="shared" si="4"/>
        <v>0</v>
      </c>
      <c r="F67" s="163">
        <f t="shared" si="5"/>
        <v>0</v>
      </c>
      <c r="G67" s="165">
        <f t="shared" si="6"/>
        <v>0</v>
      </c>
      <c r="H67" s="147">
        <f t="shared" si="7"/>
        <v>0</v>
      </c>
      <c r="I67" s="160">
        <f t="shared" si="0"/>
        <v>0</v>
      </c>
      <c r="J67" s="160"/>
      <c r="K67" s="335"/>
      <c r="L67" s="162">
        <f t="shared" si="1"/>
        <v>0</v>
      </c>
      <c r="M67" s="335"/>
      <c r="N67" s="162">
        <f t="shared" si="2"/>
        <v>0</v>
      </c>
      <c r="O67" s="162">
        <f t="shared" si="3"/>
        <v>0</v>
      </c>
      <c r="P67" s="4"/>
    </row>
    <row r="68" spans="2:16">
      <c r="B68" s="9" t="str">
        <f t="shared" si="8"/>
        <v/>
      </c>
      <c r="C68" s="157">
        <f>IF(D11="","-",+C67+1)</f>
        <v>2069</v>
      </c>
      <c r="D68" s="166">
        <f>IF(F67+SUM(E$17:E67)=D$10,F67,D$10-SUM(E$17:E67))</f>
        <v>0</v>
      </c>
      <c r="E68" s="164">
        <f t="shared" si="4"/>
        <v>0</v>
      </c>
      <c r="F68" s="163">
        <f t="shared" si="5"/>
        <v>0</v>
      </c>
      <c r="G68" s="165">
        <f t="shared" si="6"/>
        <v>0</v>
      </c>
      <c r="H68" s="147">
        <f t="shared" si="7"/>
        <v>0</v>
      </c>
      <c r="I68" s="160">
        <f t="shared" si="0"/>
        <v>0</v>
      </c>
      <c r="J68" s="160"/>
      <c r="K68" s="335"/>
      <c r="L68" s="162">
        <f t="shared" si="1"/>
        <v>0</v>
      </c>
      <c r="M68" s="335"/>
      <c r="N68" s="162">
        <f t="shared" si="2"/>
        <v>0</v>
      </c>
      <c r="O68" s="162">
        <f t="shared" si="3"/>
        <v>0</v>
      </c>
      <c r="P68" s="4"/>
    </row>
    <row r="69" spans="2:16">
      <c r="B69" s="9" t="str">
        <f t="shared" si="8"/>
        <v/>
      </c>
      <c r="C69" s="157">
        <f>IF(D11="","-",+C68+1)</f>
        <v>2070</v>
      </c>
      <c r="D69" s="166">
        <f>IF(F68+SUM(E$17:E68)=D$10,F68,D$10-SUM(E$17:E68))</f>
        <v>0</v>
      </c>
      <c r="E69" s="164">
        <f t="shared" si="4"/>
        <v>0</v>
      </c>
      <c r="F69" s="163">
        <f t="shared" si="5"/>
        <v>0</v>
      </c>
      <c r="G69" s="165">
        <f t="shared" si="6"/>
        <v>0</v>
      </c>
      <c r="H69" s="147">
        <f t="shared" si="7"/>
        <v>0</v>
      </c>
      <c r="I69" s="160">
        <f t="shared" si="0"/>
        <v>0</v>
      </c>
      <c r="J69" s="160"/>
      <c r="K69" s="335"/>
      <c r="L69" s="162">
        <f t="shared" si="1"/>
        <v>0</v>
      </c>
      <c r="M69" s="335"/>
      <c r="N69" s="162">
        <f t="shared" si="2"/>
        <v>0</v>
      </c>
      <c r="O69" s="162">
        <f t="shared" si="3"/>
        <v>0</v>
      </c>
      <c r="P69" s="4"/>
    </row>
    <row r="70" spans="2:16">
      <c r="B70" s="9" t="str">
        <f t="shared" si="8"/>
        <v/>
      </c>
      <c r="C70" s="157">
        <f>IF(D11="","-",+C69+1)</f>
        <v>2071</v>
      </c>
      <c r="D70" s="166">
        <f>IF(F69+SUM(E$17:E69)=D$10,F69,D$10-SUM(E$17:E69))</f>
        <v>0</v>
      </c>
      <c r="E70" s="164">
        <f t="shared" si="4"/>
        <v>0</v>
      </c>
      <c r="F70" s="163">
        <f t="shared" si="5"/>
        <v>0</v>
      </c>
      <c r="G70" s="165">
        <f t="shared" si="6"/>
        <v>0</v>
      </c>
      <c r="H70" s="147">
        <f t="shared" si="7"/>
        <v>0</v>
      </c>
      <c r="I70" s="160">
        <f t="shared" si="0"/>
        <v>0</v>
      </c>
      <c r="J70" s="160"/>
      <c r="K70" s="335"/>
      <c r="L70" s="162">
        <f t="shared" si="1"/>
        <v>0</v>
      </c>
      <c r="M70" s="335"/>
      <c r="N70" s="162">
        <f t="shared" si="2"/>
        <v>0</v>
      </c>
      <c r="O70" s="162">
        <f t="shared" si="3"/>
        <v>0</v>
      </c>
      <c r="P70" s="4"/>
    </row>
    <row r="71" spans="2:16">
      <c r="B71" s="9" t="str">
        <f t="shared" si="8"/>
        <v/>
      </c>
      <c r="C71" s="157">
        <f>IF(D11="","-",+C70+1)</f>
        <v>2072</v>
      </c>
      <c r="D71" s="166">
        <f>IF(F70+SUM(E$17:E70)=D$10,F70,D$10-SUM(E$17:E70))</f>
        <v>0</v>
      </c>
      <c r="E71" s="164">
        <f t="shared" si="4"/>
        <v>0</v>
      </c>
      <c r="F71" s="163">
        <f t="shared" si="5"/>
        <v>0</v>
      </c>
      <c r="G71" s="165">
        <f t="shared" si="6"/>
        <v>0</v>
      </c>
      <c r="H71" s="147">
        <f t="shared" si="7"/>
        <v>0</v>
      </c>
      <c r="I71" s="160">
        <f t="shared" si="0"/>
        <v>0</v>
      </c>
      <c r="J71" s="160"/>
      <c r="K71" s="335"/>
      <c r="L71" s="162">
        <f t="shared" si="1"/>
        <v>0</v>
      </c>
      <c r="M71" s="335"/>
      <c r="N71" s="162">
        <f t="shared" si="2"/>
        <v>0</v>
      </c>
      <c r="O71" s="162">
        <f t="shared" si="3"/>
        <v>0</v>
      </c>
      <c r="P71" s="4"/>
    </row>
    <row r="72" spans="2:16" ht="13.5" thickBot="1">
      <c r="B72" s="9" t="str">
        <f t="shared" si="8"/>
        <v/>
      </c>
      <c r="C72" s="168">
        <f>IF(D11="","-",+C71+1)</f>
        <v>2073</v>
      </c>
      <c r="D72" s="462">
        <f>IF(F71+SUM(E$17:E71)=D$10,F71,D$10-SUM(E$17:E71))</f>
        <v>0</v>
      </c>
      <c r="E72" s="170">
        <f t="shared" si="4"/>
        <v>0</v>
      </c>
      <c r="F72" s="169">
        <f t="shared" si="5"/>
        <v>0</v>
      </c>
      <c r="G72" s="377">
        <f t="shared" si="6"/>
        <v>0</v>
      </c>
      <c r="H72" s="130">
        <f t="shared" si="7"/>
        <v>0</v>
      </c>
      <c r="I72" s="172">
        <f t="shared" si="0"/>
        <v>0</v>
      </c>
      <c r="J72" s="160"/>
      <c r="K72" s="336"/>
      <c r="L72" s="173">
        <f t="shared" si="1"/>
        <v>0</v>
      </c>
      <c r="M72" s="336"/>
      <c r="N72" s="173">
        <f t="shared" si="2"/>
        <v>0</v>
      </c>
      <c r="O72" s="173">
        <f t="shared" si="3"/>
        <v>0</v>
      </c>
      <c r="P72" s="4"/>
    </row>
    <row r="73" spans="2:16">
      <c r="C73" s="158" t="s">
        <v>72</v>
      </c>
      <c r="D73" s="115"/>
      <c r="E73" s="115">
        <f>SUM(E17:E72)</f>
        <v>1200324</v>
      </c>
      <c r="F73" s="115"/>
      <c r="G73" s="115">
        <f>SUM(G17:G72)</f>
        <v>4014931.8811717061</v>
      </c>
      <c r="H73" s="115">
        <f>SUM(H17:H72)</f>
        <v>4014931.8811717061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23 of 28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2018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138731.92205669577</v>
      </c>
      <c r="N87" s="202">
        <f>IF(J92&lt;D11,0,VLOOKUP(J92,C17:O72,11))</f>
        <v>138731.92205669577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91331.91890913008</v>
      </c>
      <c r="N88" s="204">
        <f>IF(J92&lt;D11,0,VLOOKUP(J92,C99:P154,7))</f>
        <v>91331.91890913008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Elk City 138 KV Move Load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-47400.003147565687</v>
      </c>
      <c r="N89" s="207">
        <f>+N88-N87</f>
        <v>-47400.003147565687</v>
      </c>
      <c r="O89" s="208">
        <f>+O88-O87</f>
        <v>0</v>
      </c>
      <c r="P89" s="1"/>
    </row>
    <row r="90" spans="1:16" ht="13.5" thickBot="1">
      <c r="C90" s="174"/>
      <c r="D90" s="177">
        <f>D8</f>
        <v>0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>
        <f>+D9</f>
        <v>0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222">
        <f>IF(D11=I10,0,D10)</f>
        <v>1200324</v>
      </c>
      <c r="E92" s="22" t="s">
        <v>89</v>
      </c>
      <c r="H92" s="139"/>
      <c r="I92" s="139"/>
      <c r="J92" s="140">
        <f>+'PSO.WS.G.BPU.ATRR.True-up'!M16</f>
        <v>2018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2018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5</v>
      </c>
      <c r="E94" s="141" t="s">
        <v>51</v>
      </c>
      <c r="F94" s="139"/>
      <c r="G94" s="139"/>
      <c r="J94" s="145">
        <f>'PSO.WS.G.BPU.ATRR.True-up'!$F$81</f>
        <v>0.10273556682691798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43</v>
      </c>
      <c r="E95" s="141" t="s">
        <v>54</v>
      </c>
      <c r="F95" s="139"/>
      <c r="G95" s="139"/>
      <c r="J95" s="145">
        <f>IF(H87="",J94,'PSO.WS.G.BPU.ATRR.True-up'!$F$80)</f>
        <v>0.10273556682691798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27915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277</v>
      </c>
      <c r="I97" s="339" t="s">
        <v>278</v>
      </c>
      <c r="J97" s="214" t="s">
        <v>93</v>
      </c>
      <c r="K97" s="216"/>
      <c r="L97" s="151" t="s">
        <v>97</v>
      </c>
      <c r="M97" s="151" t="s">
        <v>94</v>
      </c>
      <c r="N97" s="151" t="s">
        <v>97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2018</v>
      </c>
      <c r="D99" s="158">
        <v>0</v>
      </c>
      <c r="E99" s="165">
        <v>0</v>
      </c>
      <c r="F99" s="163">
        <v>1778000</v>
      </c>
      <c r="G99" s="218">
        <v>889000</v>
      </c>
      <c r="H99" s="218">
        <v>91331.91890913008</v>
      </c>
      <c r="I99" s="218">
        <v>91331.91890913008</v>
      </c>
      <c r="J99" s="162">
        <f t="shared" ref="J99:J130" si="9">+I99-H99</f>
        <v>0</v>
      </c>
      <c r="K99" s="162"/>
      <c r="L99" s="334"/>
      <c r="M99" s="161">
        <f t="shared" ref="M99:M130" si="10">IF(L99&lt;&gt;0,+H99-L99,0)</f>
        <v>0</v>
      </c>
      <c r="N99" s="334"/>
      <c r="O99" s="161">
        <f t="shared" ref="O99:O130" si="11">IF(N99&lt;&gt;0,+I99-N99,0)</f>
        <v>0</v>
      </c>
      <c r="P99" s="161">
        <f t="shared" ref="P99:P130" si="12">+O99-M99</f>
        <v>0</v>
      </c>
    </row>
    <row r="100" spans="1:16">
      <c r="B100" s="9" t="str">
        <f>IF(D100=F99,"","IU")</f>
        <v>IU</v>
      </c>
      <c r="C100" s="157">
        <f>IF(D93="","-",+C99+1)</f>
        <v>2019</v>
      </c>
      <c r="D100" s="158">
        <f>IF(F99+SUM(E$99:E99)=D$92,F99,D$92-SUM(E$99:E99))</f>
        <v>1200324</v>
      </c>
      <c r="E100" s="164">
        <f>IF(+J$96&lt;F99,J$96,D100)</f>
        <v>27915</v>
      </c>
      <c r="F100" s="163">
        <f>+D100-E100</f>
        <v>1172409</v>
      </c>
      <c r="G100" s="163">
        <f>+(F100+D100)/2</f>
        <v>1186366.5</v>
      </c>
      <c r="H100" s="333">
        <f t="shared" ref="H100:H154" si="13">+J$94*G100+E100</f>
        <v>149797.03484196679</v>
      </c>
      <c r="I100" s="344">
        <f t="shared" ref="I100:I154" si="14">+J$95*G100+E100</f>
        <v>149797.03484196679</v>
      </c>
      <c r="J100" s="162">
        <f t="shared" si="9"/>
        <v>0</v>
      </c>
      <c r="K100" s="162"/>
      <c r="L100" s="335"/>
      <c r="M100" s="162">
        <f t="shared" si="10"/>
        <v>0</v>
      </c>
      <c r="N100" s="335"/>
      <c r="O100" s="162">
        <f t="shared" si="11"/>
        <v>0</v>
      </c>
      <c r="P100" s="162">
        <f t="shared" si="12"/>
        <v>0</v>
      </c>
    </row>
    <row r="101" spans="1:16">
      <c r="B101" s="9" t="str">
        <f t="shared" ref="B101:B154" si="15">IF(D101=F100,"","IU")</f>
        <v/>
      </c>
      <c r="C101" s="157">
        <f>IF(D93="","-",+C100+1)</f>
        <v>2020</v>
      </c>
      <c r="D101" s="158">
        <f>IF(F100+SUM(E$99:E100)=D$92,F100,D$92-SUM(E$99:E100))</f>
        <v>1172409</v>
      </c>
      <c r="E101" s="164">
        <f t="shared" ref="E101:E154" si="16">IF(+J$96&lt;F100,J$96,D101)</f>
        <v>27915</v>
      </c>
      <c r="F101" s="163">
        <f t="shared" ref="F101:F154" si="17">+D101-E101</f>
        <v>1144494</v>
      </c>
      <c r="G101" s="163">
        <f t="shared" ref="G101:G154" si="18">+(F101+D101)/2</f>
        <v>1158451.5</v>
      </c>
      <c r="H101" s="333">
        <f t="shared" si="13"/>
        <v>146929.17149399337</v>
      </c>
      <c r="I101" s="344">
        <f t="shared" si="14"/>
        <v>146929.17149399337</v>
      </c>
      <c r="J101" s="162">
        <f t="shared" si="9"/>
        <v>0</v>
      </c>
      <c r="K101" s="162"/>
      <c r="L101" s="335"/>
      <c r="M101" s="162">
        <f t="shared" si="10"/>
        <v>0</v>
      </c>
      <c r="N101" s="335"/>
      <c r="O101" s="162">
        <f t="shared" si="11"/>
        <v>0</v>
      </c>
      <c r="P101" s="162">
        <f t="shared" si="12"/>
        <v>0</v>
      </c>
    </row>
    <row r="102" spans="1:16">
      <c r="B102" s="9" t="str">
        <f t="shared" si="15"/>
        <v/>
      </c>
      <c r="C102" s="157">
        <f>IF(D93="","-",+C101+1)</f>
        <v>2021</v>
      </c>
      <c r="D102" s="158">
        <f>IF(F101+SUM(E$99:E101)=D$92,F101,D$92-SUM(E$99:E101))</f>
        <v>1144494</v>
      </c>
      <c r="E102" s="164">
        <f t="shared" si="16"/>
        <v>27915</v>
      </c>
      <c r="F102" s="163">
        <f t="shared" si="17"/>
        <v>1116579</v>
      </c>
      <c r="G102" s="163">
        <f t="shared" si="18"/>
        <v>1130536.5</v>
      </c>
      <c r="H102" s="333">
        <f t="shared" si="13"/>
        <v>144061.30814601996</v>
      </c>
      <c r="I102" s="344">
        <f t="shared" si="14"/>
        <v>144061.30814601996</v>
      </c>
      <c r="J102" s="162">
        <f t="shared" si="9"/>
        <v>0</v>
      </c>
      <c r="K102" s="162"/>
      <c r="L102" s="335"/>
      <c r="M102" s="162">
        <f t="shared" si="10"/>
        <v>0</v>
      </c>
      <c r="N102" s="335"/>
      <c r="O102" s="162">
        <f t="shared" si="11"/>
        <v>0</v>
      </c>
      <c r="P102" s="162">
        <f t="shared" si="12"/>
        <v>0</v>
      </c>
    </row>
    <row r="103" spans="1:16">
      <c r="B103" s="9" t="str">
        <f t="shared" si="15"/>
        <v/>
      </c>
      <c r="C103" s="157">
        <f>IF(D93="","-",+C102+1)</f>
        <v>2022</v>
      </c>
      <c r="D103" s="158">
        <f>IF(F102+SUM(E$99:E102)=D$92,F102,D$92-SUM(E$99:E102))</f>
        <v>1116579</v>
      </c>
      <c r="E103" s="164">
        <f t="shared" si="16"/>
        <v>27915</v>
      </c>
      <c r="F103" s="163">
        <f t="shared" si="17"/>
        <v>1088664</v>
      </c>
      <c r="G103" s="163">
        <f t="shared" si="18"/>
        <v>1102621.5</v>
      </c>
      <c r="H103" s="333">
        <f t="shared" si="13"/>
        <v>141193.44479804655</v>
      </c>
      <c r="I103" s="344">
        <f t="shared" si="14"/>
        <v>141193.44479804655</v>
      </c>
      <c r="J103" s="162">
        <f t="shared" si="9"/>
        <v>0</v>
      </c>
      <c r="K103" s="162"/>
      <c r="L103" s="335"/>
      <c r="M103" s="162">
        <f t="shared" si="10"/>
        <v>0</v>
      </c>
      <c r="N103" s="335"/>
      <c r="O103" s="162">
        <f t="shared" si="11"/>
        <v>0</v>
      </c>
      <c r="P103" s="162">
        <f t="shared" si="12"/>
        <v>0</v>
      </c>
    </row>
    <row r="104" spans="1:16">
      <c r="B104" s="9" t="str">
        <f t="shared" si="15"/>
        <v/>
      </c>
      <c r="C104" s="157">
        <f>IF(D93="","-",+C103+1)</f>
        <v>2023</v>
      </c>
      <c r="D104" s="158">
        <f>IF(F103+SUM(E$99:E103)=D$92,F103,D$92-SUM(E$99:E103))</f>
        <v>1088664</v>
      </c>
      <c r="E104" s="164">
        <f t="shared" si="16"/>
        <v>27915</v>
      </c>
      <c r="F104" s="163">
        <f t="shared" si="17"/>
        <v>1060749</v>
      </c>
      <c r="G104" s="163">
        <f t="shared" si="18"/>
        <v>1074706.5</v>
      </c>
      <c r="H104" s="333">
        <f t="shared" si="13"/>
        <v>138325.58145007311</v>
      </c>
      <c r="I104" s="344">
        <f t="shared" si="14"/>
        <v>138325.58145007311</v>
      </c>
      <c r="J104" s="162">
        <f t="shared" si="9"/>
        <v>0</v>
      </c>
      <c r="K104" s="162"/>
      <c r="L104" s="335"/>
      <c r="M104" s="162">
        <f t="shared" si="10"/>
        <v>0</v>
      </c>
      <c r="N104" s="335"/>
      <c r="O104" s="162">
        <f t="shared" si="11"/>
        <v>0</v>
      </c>
      <c r="P104" s="162">
        <f t="shared" si="12"/>
        <v>0</v>
      </c>
    </row>
    <row r="105" spans="1:16">
      <c r="B105" s="9" t="str">
        <f t="shared" si="15"/>
        <v/>
      </c>
      <c r="C105" s="157">
        <f>IF(D93="","-",+C104+1)</f>
        <v>2024</v>
      </c>
      <c r="D105" s="158">
        <f>IF(F104+SUM(E$99:E104)=D$92,F104,D$92-SUM(E$99:E104))</f>
        <v>1060749</v>
      </c>
      <c r="E105" s="164">
        <f t="shared" si="16"/>
        <v>27915</v>
      </c>
      <c r="F105" s="163">
        <f t="shared" si="17"/>
        <v>1032834</v>
      </c>
      <c r="G105" s="163">
        <f t="shared" si="18"/>
        <v>1046791.5</v>
      </c>
      <c r="H105" s="333">
        <f t="shared" si="13"/>
        <v>135457.71810209972</v>
      </c>
      <c r="I105" s="344">
        <f t="shared" si="14"/>
        <v>135457.71810209972</v>
      </c>
      <c r="J105" s="162">
        <f t="shared" si="9"/>
        <v>0</v>
      </c>
      <c r="K105" s="162"/>
      <c r="L105" s="335"/>
      <c r="M105" s="162">
        <f t="shared" si="10"/>
        <v>0</v>
      </c>
      <c r="N105" s="335"/>
      <c r="O105" s="162">
        <f t="shared" si="11"/>
        <v>0</v>
      </c>
      <c r="P105" s="162">
        <f t="shared" si="12"/>
        <v>0</v>
      </c>
    </row>
    <row r="106" spans="1:16">
      <c r="B106" s="9" t="str">
        <f t="shared" si="15"/>
        <v/>
      </c>
      <c r="C106" s="157">
        <f>IF(D93="","-",+C105+1)</f>
        <v>2025</v>
      </c>
      <c r="D106" s="158">
        <f>IF(F105+SUM(E$99:E105)=D$92,F105,D$92-SUM(E$99:E105))</f>
        <v>1032834</v>
      </c>
      <c r="E106" s="164">
        <f t="shared" si="16"/>
        <v>27915</v>
      </c>
      <c r="F106" s="163">
        <f t="shared" si="17"/>
        <v>1004919</v>
      </c>
      <c r="G106" s="163">
        <f t="shared" si="18"/>
        <v>1018876.5</v>
      </c>
      <c r="H106" s="333">
        <f t="shared" si="13"/>
        <v>132589.85475412628</v>
      </c>
      <c r="I106" s="344">
        <f t="shared" si="14"/>
        <v>132589.85475412628</v>
      </c>
      <c r="J106" s="162">
        <f t="shared" si="9"/>
        <v>0</v>
      </c>
      <c r="K106" s="162"/>
      <c r="L106" s="335"/>
      <c r="M106" s="162">
        <f t="shared" si="10"/>
        <v>0</v>
      </c>
      <c r="N106" s="335"/>
      <c r="O106" s="162">
        <f t="shared" si="11"/>
        <v>0</v>
      </c>
      <c r="P106" s="162">
        <f t="shared" si="12"/>
        <v>0</v>
      </c>
    </row>
    <row r="107" spans="1:16">
      <c r="B107" s="9" t="str">
        <f t="shared" si="15"/>
        <v/>
      </c>
      <c r="C107" s="157">
        <f>IF(D93="","-",+C106+1)</f>
        <v>2026</v>
      </c>
      <c r="D107" s="158">
        <f>IF(F106+SUM(E$99:E106)=D$92,F106,D$92-SUM(E$99:E106))</f>
        <v>1004919</v>
      </c>
      <c r="E107" s="164">
        <f t="shared" si="16"/>
        <v>27915</v>
      </c>
      <c r="F107" s="163">
        <f t="shared" si="17"/>
        <v>977004</v>
      </c>
      <c r="G107" s="163">
        <f t="shared" si="18"/>
        <v>990961.5</v>
      </c>
      <c r="H107" s="333">
        <f t="shared" si="13"/>
        <v>129721.99140615288</v>
      </c>
      <c r="I107" s="344">
        <f t="shared" si="14"/>
        <v>129721.99140615288</v>
      </c>
      <c r="J107" s="162">
        <f t="shared" si="9"/>
        <v>0</v>
      </c>
      <c r="K107" s="162"/>
      <c r="L107" s="335"/>
      <c r="M107" s="162">
        <f t="shared" si="10"/>
        <v>0</v>
      </c>
      <c r="N107" s="335"/>
      <c r="O107" s="162">
        <f t="shared" si="11"/>
        <v>0</v>
      </c>
      <c r="P107" s="162">
        <f t="shared" si="12"/>
        <v>0</v>
      </c>
    </row>
    <row r="108" spans="1:16">
      <c r="B108" s="9" t="str">
        <f t="shared" si="15"/>
        <v/>
      </c>
      <c r="C108" s="157">
        <f>IF(D93="","-",+C107+1)</f>
        <v>2027</v>
      </c>
      <c r="D108" s="158">
        <f>IF(F107+SUM(E$99:E107)=D$92,F107,D$92-SUM(E$99:E107))</f>
        <v>977004</v>
      </c>
      <c r="E108" s="164">
        <f t="shared" si="16"/>
        <v>27915</v>
      </c>
      <c r="F108" s="163">
        <f t="shared" si="17"/>
        <v>949089</v>
      </c>
      <c r="G108" s="163">
        <f t="shared" si="18"/>
        <v>963046.5</v>
      </c>
      <c r="H108" s="333">
        <f t="shared" si="13"/>
        <v>126854.12805817947</v>
      </c>
      <c r="I108" s="344">
        <f t="shared" si="14"/>
        <v>126854.12805817947</v>
      </c>
      <c r="J108" s="162">
        <f t="shared" si="9"/>
        <v>0</v>
      </c>
      <c r="K108" s="162"/>
      <c r="L108" s="335"/>
      <c r="M108" s="162">
        <f t="shared" si="10"/>
        <v>0</v>
      </c>
      <c r="N108" s="335"/>
      <c r="O108" s="162">
        <f t="shared" si="11"/>
        <v>0</v>
      </c>
      <c r="P108" s="162">
        <f t="shared" si="12"/>
        <v>0</v>
      </c>
    </row>
    <row r="109" spans="1:16">
      <c r="B109" s="9" t="str">
        <f t="shared" si="15"/>
        <v/>
      </c>
      <c r="C109" s="157">
        <f>IF(D93="","-",+C108+1)</f>
        <v>2028</v>
      </c>
      <c r="D109" s="158">
        <f>IF(F108+SUM(E$99:E108)=D$92,F108,D$92-SUM(E$99:E108))</f>
        <v>949089</v>
      </c>
      <c r="E109" s="164">
        <f t="shared" si="16"/>
        <v>27915</v>
      </c>
      <c r="F109" s="163">
        <f t="shared" si="17"/>
        <v>921174</v>
      </c>
      <c r="G109" s="163">
        <f t="shared" si="18"/>
        <v>935131.5</v>
      </c>
      <c r="H109" s="333">
        <f t="shared" si="13"/>
        <v>123986.26471020604</v>
      </c>
      <c r="I109" s="344">
        <f t="shared" si="14"/>
        <v>123986.26471020604</v>
      </c>
      <c r="J109" s="162">
        <f t="shared" si="9"/>
        <v>0</v>
      </c>
      <c r="K109" s="162"/>
      <c r="L109" s="335"/>
      <c r="M109" s="162">
        <f t="shared" si="10"/>
        <v>0</v>
      </c>
      <c r="N109" s="335"/>
      <c r="O109" s="162">
        <f t="shared" si="11"/>
        <v>0</v>
      </c>
      <c r="P109" s="162">
        <f t="shared" si="12"/>
        <v>0</v>
      </c>
    </row>
    <row r="110" spans="1:16">
      <c r="B110" s="9" t="str">
        <f t="shared" si="15"/>
        <v/>
      </c>
      <c r="C110" s="157">
        <f>IF(D93="","-",+C109+1)</f>
        <v>2029</v>
      </c>
      <c r="D110" s="158">
        <f>IF(F109+SUM(E$99:E109)=D$92,F109,D$92-SUM(E$99:E109))</f>
        <v>921174</v>
      </c>
      <c r="E110" s="164">
        <f t="shared" si="16"/>
        <v>27915</v>
      </c>
      <c r="F110" s="163">
        <f t="shared" si="17"/>
        <v>893259</v>
      </c>
      <c r="G110" s="163">
        <f t="shared" si="18"/>
        <v>907216.5</v>
      </c>
      <c r="H110" s="333">
        <f t="shared" si="13"/>
        <v>121118.40136223263</v>
      </c>
      <c r="I110" s="344">
        <f t="shared" si="14"/>
        <v>121118.40136223263</v>
      </c>
      <c r="J110" s="162">
        <f t="shared" si="9"/>
        <v>0</v>
      </c>
      <c r="K110" s="162"/>
      <c r="L110" s="335"/>
      <c r="M110" s="162">
        <f t="shared" si="10"/>
        <v>0</v>
      </c>
      <c r="N110" s="335"/>
      <c r="O110" s="162">
        <f t="shared" si="11"/>
        <v>0</v>
      </c>
      <c r="P110" s="162">
        <f t="shared" si="12"/>
        <v>0</v>
      </c>
    </row>
    <row r="111" spans="1:16">
      <c r="B111" s="9" t="str">
        <f t="shared" si="15"/>
        <v/>
      </c>
      <c r="C111" s="157">
        <f>IF(D93="","-",+C110+1)</f>
        <v>2030</v>
      </c>
      <c r="D111" s="158">
        <f>IF(F110+SUM(E$99:E110)=D$92,F110,D$92-SUM(E$99:E110))</f>
        <v>893259</v>
      </c>
      <c r="E111" s="164">
        <f t="shared" si="16"/>
        <v>27915</v>
      </c>
      <c r="F111" s="163">
        <f t="shared" si="17"/>
        <v>865344</v>
      </c>
      <c r="G111" s="163">
        <f t="shared" si="18"/>
        <v>879301.5</v>
      </c>
      <c r="H111" s="333">
        <f t="shared" si="13"/>
        <v>118250.53801425922</v>
      </c>
      <c r="I111" s="344">
        <f t="shared" si="14"/>
        <v>118250.53801425922</v>
      </c>
      <c r="J111" s="162">
        <f t="shared" si="9"/>
        <v>0</v>
      </c>
      <c r="K111" s="162"/>
      <c r="L111" s="335"/>
      <c r="M111" s="162">
        <f t="shared" si="10"/>
        <v>0</v>
      </c>
      <c r="N111" s="335"/>
      <c r="O111" s="162">
        <f t="shared" si="11"/>
        <v>0</v>
      </c>
      <c r="P111" s="162">
        <f t="shared" si="12"/>
        <v>0</v>
      </c>
    </row>
    <row r="112" spans="1:16">
      <c r="B112" s="9" t="str">
        <f t="shared" si="15"/>
        <v/>
      </c>
      <c r="C112" s="157">
        <f>IF(D93="","-",+C111+1)</f>
        <v>2031</v>
      </c>
      <c r="D112" s="158">
        <f>IF(F111+SUM(E$99:E111)=D$92,F111,D$92-SUM(E$99:E111))</f>
        <v>865344</v>
      </c>
      <c r="E112" s="164">
        <f t="shared" si="16"/>
        <v>27915</v>
      </c>
      <c r="F112" s="163">
        <f t="shared" si="17"/>
        <v>837429</v>
      </c>
      <c r="G112" s="163">
        <f t="shared" si="18"/>
        <v>851386.5</v>
      </c>
      <c r="H112" s="333">
        <f t="shared" si="13"/>
        <v>115382.67466628581</v>
      </c>
      <c r="I112" s="344">
        <f t="shared" si="14"/>
        <v>115382.67466628581</v>
      </c>
      <c r="J112" s="162">
        <f t="shared" si="9"/>
        <v>0</v>
      </c>
      <c r="K112" s="162"/>
      <c r="L112" s="335"/>
      <c r="M112" s="162">
        <f t="shared" si="10"/>
        <v>0</v>
      </c>
      <c r="N112" s="335"/>
      <c r="O112" s="162">
        <f t="shared" si="11"/>
        <v>0</v>
      </c>
      <c r="P112" s="162">
        <f t="shared" si="12"/>
        <v>0</v>
      </c>
    </row>
    <row r="113" spans="2:16">
      <c r="B113" s="9" t="str">
        <f t="shared" si="15"/>
        <v/>
      </c>
      <c r="C113" s="157">
        <f>IF(D93="","-",+C112+1)</f>
        <v>2032</v>
      </c>
      <c r="D113" s="158">
        <f>IF(F112+SUM(E$99:E112)=D$92,F112,D$92-SUM(E$99:E112))</f>
        <v>837429</v>
      </c>
      <c r="E113" s="164">
        <f t="shared" si="16"/>
        <v>27915</v>
      </c>
      <c r="F113" s="163">
        <f t="shared" si="17"/>
        <v>809514</v>
      </c>
      <c r="G113" s="163">
        <f t="shared" si="18"/>
        <v>823471.5</v>
      </c>
      <c r="H113" s="333">
        <f t="shared" si="13"/>
        <v>112514.81131831239</v>
      </c>
      <c r="I113" s="344">
        <f t="shared" si="14"/>
        <v>112514.81131831239</v>
      </c>
      <c r="J113" s="162">
        <f t="shared" si="9"/>
        <v>0</v>
      </c>
      <c r="K113" s="162"/>
      <c r="L113" s="335"/>
      <c r="M113" s="162">
        <f t="shared" si="10"/>
        <v>0</v>
      </c>
      <c r="N113" s="335"/>
      <c r="O113" s="162">
        <f t="shared" si="11"/>
        <v>0</v>
      </c>
      <c r="P113" s="162">
        <f t="shared" si="12"/>
        <v>0</v>
      </c>
    </row>
    <row r="114" spans="2:16">
      <c r="B114" s="9" t="str">
        <f t="shared" si="15"/>
        <v/>
      </c>
      <c r="C114" s="157">
        <f>IF(D93="","-",+C113+1)</f>
        <v>2033</v>
      </c>
      <c r="D114" s="158">
        <f>IF(F113+SUM(E$99:E113)=D$92,F113,D$92-SUM(E$99:E113))</f>
        <v>809514</v>
      </c>
      <c r="E114" s="164">
        <f t="shared" si="16"/>
        <v>27915</v>
      </c>
      <c r="F114" s="163">
        <f t="shared" si="17"/>
        <v>781599</v>
      </c>
      <c r="G114" s="163">
        <f t="shared" si="18"/>
        <v>795556.5</v>
      </c>
      <c r="H114" s="333">
        <f t="shared" si="13"/>
        <v>109646.94797033897</v>
      </c>
      <c r="I114" s="344">
        <f t="shared" si="14"/>
        <v>109646.94797033897</v>
      </c>
      <c r="J114" s="162">
        <f t="shared" si="9"/>
        <v>0</v>
      </c>
      <c r="K114" s="162"/>
      <c r="L114" s="335"/>
      <c r="M114" s="162">
        <f t="shared" si="10"/>
        <v>0</v>
      </c>
      <c r="N114" s="335"/>
      <c r="O114" s="162">
        <f t="shared" si="11"/>
        <v>0</v>
      </c>
      <c r="P114" s="162">
        <f t="shared" si="12"/>
        <v>0</v>
      </c>
    </row>
    <row r="115" spans="2:16">
      <c r="B115" s="9" t="str">
        <f t="shared" si="15"/>
        <v/>
      </c>
      <c r="C115" s="157">
        <f>IF(D93="","-",+C114+1)</f>
        <v>2034</v>
      </c>
      <c r="D115" s="158">
        <f>IF(F114+SUM(E$99:E114)=D$92,F114,D$92-SUM(E$99:E114))</f>
        <v>781599</v>
      </c>
      <c r="E115" s="164">
        <f t="shared" si="16"/>
        <v>27915</v>
      </c>
      <c r="F115" s="163">
        <f t="shared" si="17"/>
        <v>753684</v>
      </c>
      <c r="G115" s="163">
        <f t="shared" si="18"/>
        <v>767641.5</v>
      </c>
      <c r="H115" s="333">
        <f t="shared" si="13"/>
        <v>106779.08462236555</v>
      </c>
      <c r="I115" s="344">
        <f t="shared" si="14"/>
        <v>106779.08462236555</v>
      </c>
      <c r="J115" s="162">
        <f t="shared" si="9"/>
        <v>0</v>
      </c>
      <c r="K115" s="162"/>
      <c r="L115" s="335"/>
      <c r="M115" s="162">
        <f t="shared" si="10"/>
        <v>0</v>
      </c>
      <c r="N115" s="335"/>
      <c r="O115" s="162">
        <f t="shared" si="11"/>
        <v>0</v>
      </c>
      <c r="P115" s="162">
        <f t="shared" si="12"/>
        <v>0</v>
      </c>
    </row>
    <row r="116" spans="2:16">
      <c r="B116" s="9" t="str">
        <f t="shared" si="15"/>
        <v/>
      </c>
      <c r="C116" s="157">
        <f>IF(D93="","-",+C115+1)</f>
        <v>2035</v>
      </c>
      <c r="D116" s="158">
        <f>IF(F115+SUM(E$99:E115)=D$92,F115,D$92-SUM(E$99:E115))</f>
        <v>753684</v>
      </c>
      <c r="E116" s="164">
        <f t="shared" si="16"/>
        <v>27915</v>
      </c>
      <c r="F116" s="163">
        <f t="shared" si="17"/>
        <v>725769</v>
      </c>
      <c r="G116" s="163">
        <f t="shared" si="18"/>
        <v>739726.5</v>
      </c>
      <c r="H116" s="333">
        <f t="shared" si="13"/>
        <v>103911.22127439214</v>
      </c>
      <c r="I116" s="344">
        <f t="shared" si="14"/>
        <v>103911.22127439214</v>
      </c>
      <c r="J116" s="162">
        <f t="shared" si="9"/>
        <v>0</v>
      </c>
      <c r="K116" s="162"/>
      <c r="L116" s="335"/>
      <c r="M116" s="162">
        <f t="shared" si="10"/>
        <v>0</v>
      </c>
      <c r="N116" s="335"/>
      <c r="O116" s="162">
        <f t="shared" si="11"/>
        <v>0</v>
      </c>
      <c r="P116" s="162">
        <f t="shared" si="12"/>
        <v>0</v>
      </c>
    </row>
    <row r="117" spans="2:16">
      <c r="B117" s="9" t="str">
        <f t="shared" si="15"/>
        <v/>
      </c>
      <c r="C117" s="157">
        <f>IF(D93="","-",+C116+1)</f>
        <v>2036</v>
      </c>
      <c r="D117" s="158">
        <f>IF(F116+SUM(E$99:E116)=D$92,F116,D$92-SUM(E$99:E116))</f>
        <v>725769</v>
      </c>
      <c r="E117" s="164">
        <f t="shared" si="16"/>
        <v>27915</v>
      </c>
      <c r="F117" s="163">
        <f t="shared" si="17"/>
        <v>697854</v>
      </c>
      <c r="G117" s="163">
        <f t="shared" si="18"/>
        <v>711811.5</v>
      </c>
      <c r="H117" s="333">
        <f t="shared" si="13"/>
        <v>101043.35792641873</v>
      </c>
      <c r="I117" s="344">
        <f t="shared" si="14"/>
        <v>101043.35792641873</v>
      </c>
      <c r="J117" s="162">
        <f t="shared" si="9"/>
        <v>0</v>
      </c>
      <c r="K117" s="162"/>
      <c r="L117" s="335"/>
      <c r="M117" s="162">
        <f t="shared" si="10"/>
        <v>0</v>
      </c>
      <c r="N117" s="335"/>
      <c r="O117" s="162">
        <f t="shared" si="11"/>
        <v>0</v>
      </c>
      <c r="P117" s="162">
        <f t="shared" si="12"/>
        <v>0</v>
      </c>
    </row>
    <row r="118" spans="2:16">
      <c r="B118" s="9" t="str">
        <f t="shared" si="15"/>
        <v/>
      </c>
      <c r="C118" s="157">
        <f>IF(D93="","-",+C117+1)</f>
        <v>2037</v>
      </c>
      <c r="D118" s="158">
        <f>IF(F117+SUM(E$99:E117)=D$92,F117,D$92-SUM(E$99:E117))</f>
        <v>697854</v>
      </c>
      <c r="E118" s="164">
        <f t="shared" si="16"/>
        <v>27915</v>
      </c>
      <c r="F118" s="163">
        <f t="shared" si="17"/>
        <v>669939</v>
      </c>
      <c r="G118" s="163">
        <f t="shared" si="18"/>
        <v>683896.5</v>
      </c>
      <c r="H118" s="333">
        <f t="shared" si="13"/>
        <v>98175.494578445316</v>
      </c>
      <c r="I118" s="344">
        <f t="shared" si="14"/>
        <v>98175.494578445316</v>
      </c>
      <c r="J118" s="162">
        <f t="shared" si="9"/>
        <v>0</v>
      </c>
      <c r="K118" s="162"/>
      <c r="L118" s="335"/>
      <c r="M118" s="162">
        <f t="shared" si="10"/>
        <v>0</v>
      </c>
      <c r="N118" s="335"/>
      <c r="O118" s="162">
        <f t="shared" si="11"/>
        <v>0</v>
      </c>
      <c r="P118" s="162">
        <f t="shared" si="12"/>
        <v>0</v>
      </c>
    </row>
    <row r="119" spans="2:16">
      <c r="B119" s="9" t="str">
        <f t="shared" si="15"/>
        <v/>
      </c>
      <c r="C119" s="157">
        <f>IF(D93="","-",+C118+1)</f>
        <v>2038</v>
      </c>
      <c r="D119" s="158">
        <f>IF(F118+SUM(E$99:E118)=D$92,F118,D$92-SUM(E$99:E118))</f>
        <v>669939</v>
      </c>
      <c r="E119" s="164">
        <f t="shared" si="16"/>
        <v>27915</v>
      </c>
      <c r="F119" s="163">
        <f t="shared" si="17"/>
        <v>642024</v>
      </c>
      <c r="G119" s="163">
        <f t="shared" si="18"/>
        <v>655981.5</v>
      </c>
      <c r="H119" s="333">
        <f t="shared" si="13"/>
        <v>95307.631230471903</v>
      </c>
      <c r="I119" s="344">
        <f t="shared" si="14"/>
        <v>95307.631230471903</v>
      </c>
      <c r="J119" s="162">
        <f t="shared" si="9"/>
        <v>0</v>
      </c>
      <c r="K119" s="162"/>
      <c r="L119" s="335"/>
      <c r="M119" s="162">
        <f t="shared" si="10"/>
        <v>0</v>
      </c>
      <c r="N119" s="335"/>
      <c r="O119" s="162">
        <f t="shared" si="11"/>
        <v>0</v>
      </c>
      <c r="P119" s="162">
        <f t="shared" si="12"/>
        <v>0</v>
      </c>
    </row>
    <row r="120" spans="2:16">
      <c r="B120" s="9" t="str">
        <f t="shared" si="15"/>
        <v/>
      </c>
      <c r="C120" s="157">
        <f>IF(D93="","-",+C119+1)</f>
        <v>2039</v>
      </c>
      <c r="D120" s="158">
        <f>IF(F119+SUM(E$99:E119)=D$92,F119,D$92-SUM(E$99:E119))</f>
        <v>642024</v>
      </c>
      <c r="E120" s="164">
        <f t="shared" si="16"/>
        <v>27915</v>
      </c>
      <c r="F120" s="163">
        <f t="shared" si="17"/>
        <v>614109</v>
      </c>
      <c r="G120" s="163">
        <f t="shared" si="18"/>
        <v>628066.5</v>
      </c>
      <c r="H120" s="333">
        <f t="shared" si="13"/>
        <v>92439.767882498476</v>
      </c>
      <c r="I120" s="344">
        <f t="shared" si="14"/>
        <v>92439.767882498476</v>
      </c>
      <c r="J120" s="162">
        <f t="shared" si="9"/>
        <v>0</v>
      </c>
      <c r="K120" s="162"/>
      <c r="L120" s="335"/>
      <c r="M120" s="162">
        <f t="shared" si="10"/>
        <v>0</v>
      </c>
      <c r="N120" s="335"/>
      <c r="O120" s="162">
        <f t="shared" si="11"/>
        <v>0</v>
      </c>
      <c r="P120" s="162">
        <f t="shared" si="12"/>
        <v>0</v>
      </c>
    </row>
    <row r="121" spans="2:16">
      <c r="B121" s="9" t="str">
        <f t="shared" si="15"/>
        <v/>
      </c>
      <c r="C121" s="157">
        <f>IF(D93="","-",+C120+1)</f>
        <v>2040</v>
      </c>
      <c r="D121" s="158">
        <f>IF(F120+SUM(E$99:E120)=D$92,F120,D$92-SUM(E$99:E120))</f>
        <v>614109</v>
      </c>
      <c r="E121" s="164">
        <f t="shared" si="16"/>
        <v>27915</v>
      </c>
      <c r="F121" s="163">
        <f t="shared" si="17"/>
        <v>586194</v>
      </c>
      <c r="G121" s="163">
        <f t="shared" si="18"/>
        <v>600151.5</v>
      </c>
      <c r="H121" s="333">
        <f t="shared" si="13"/>
        <v>89571.904534525063</v>
      </c>
      <c r="I121" s="344">
        <f t="shared" si="14"/>
        <v>89571.904534525063</v>
      </c>
      <c r="J121" s="162">
        <f t="shared" si="9"/>
        <v>0</v>
      </c>
      <c r="K121" s="162"/>
      <c r="L121" s="335"/>
      <c r="M121" s="162">
        <f t="shared" si="10"/>
        <v>0</v>
      </c>
      <c r="N121" s="335"/>
      <c r="O121" s="162">
        <f t="shared" si="11"/>
        <v>0</v>
      </c>
      <c r="P121" s="162">
        <f t="shared" si="12"/>
        <v>0</v>
      </c>
    </row>
    <row r="122" spans="2:16">
      <c r="B122" s="9" t="str">
        <f t="shared" si="15"/>
        <v/>
      </c>
      <c r="C122" s="157">
        <f>IF(D93="","-",+C121+1)</f>
        <v>2041</v>
      </c>
      <c r="D122" s="158">
        <f>IF(F121+SUM(E$99:E121)=D$92,F121,D$92-SUM(E$99:E121))</f>
        <v>586194</v>
      </c>
      <c r="E122" s="164">
        <f t="shared" si="16"/>
        <v>27915</v>
      </c>
      <c r="F122" s="163">
        <f t="shared" si="17"/>
        <v>558279</v>
      </c>
      <c r="G122" s="163">
        <f t="shared" si="18"/>
        <v>572236.5</v>
      </c>
      <c r="H122" s="333">
        <f t="shared" si="13"/>
        <v>86704.041186551651</v>
      </c>
      <c r="I122" s="344">
        <f t="shared" si="14"/>
        <v>86704.041186551651</v>
      </c>
      <c r="J122" s="162">
        <f t="shared" si="9"/>
        <v>0</v>
      </c>
      <c r="K122" s="162"/>
      <c r="L122" s="335"/>
      <c r="M122" s="162">
        <f t="shared" si="10"/>
        <v>0</v>
      </c>
      <c r="N122" s="335"/>
      <c r="O122" s="162">
        <f t="shared" si="11"/>
        <v>0</v>
      </c>
      <c r="P122" s="162">
        <f t="shared" si="12"/>
        <v>0</v>
      </c>
    </row>
    <row r="123" spans="2:16">
      <c r="B123" s="9" t="str">
        <f t="shared" si="15"/>
        <v/>
      </c>
      <c r="C123" s="157">
        <f>IF(D93="","-",+C122+1)</f>
        <v>2042</v>
      </c>
      <c r="D123" s="158">
        <f>IF(F122+SUM(E$99:E122)=D$92,F122,D$92-SUM(E$99:E122))</f>
        <v>558279</v>
      </c>
      <c r="E123" s="164">
        <f t="shared" si="16"/>
        <v>27915</v>
      </c>
      <c r="F123" s="163">
        <f t="shared" si="17"/>
        <v>530364</v>
      </c>
      <c r="G123" s="163">
        <f t="shared" si="18"/>
        <v>544321.5</v>
      </c>
      <c r="H123" s="333">
        <f t="shared" si="13"/>
        <v>83836.177838578238</v>
      </c>
      <c r="I123" s="344">
        <f t="shared" si="14"/>
        <v>83836.177838578238</v>
      </c>
      <c r="J123" s="162">
        <f t="shared" si="9"/>
        <v>0</v>
      </c>
      <c r="K123" s="162"/>
      <c r="L123" s="335"/>
      <c r="M123" s="162">
        <f t="shared" si="10"/>
        <v>0</v>
      </c>
      <c r="N123" s="335"/>
      <c r="O123" s="162">
        <f t="shared" si="11"/>
        <v>0</v>
      </c>
      <c r="P123" s="162">
        <f t="shared" si="12"/>
        <v>0</v>
      </c>
    </row>
    <row r="124" spans="2:16">
      <c r="B124" s="9" t="str">
        <f t="shared" si="15"/>
        <v/>
      </c>
      <c r="C124" s="157">
        <f>IF(D93="","-",+C123+1)</f>
        <v>2043</v>
      </c>
      <c r="D124" s="158">
        <f>IF(F123+SUM(E$99:E123)=D$92,F123,D$92-SUM(E$99:E123))</f>
        <v>530364</v>
      </c>
      <c r="E124" s="164">
        <f t="shared" si="16"/>
        <v>27915</v>
      </c>
      <c r="F124" s="163">
        <f t="shared" si="17"/>
        <v>502449</v>
      </c>
      <c r="G124" s="163">
        <f t="shared" si="18"/>
        <v>516406.5</v>
      </c>
      <c r="H124" s="333">
        <f t="shared" si="13"/>
        <v>80968.314490604826</v>
      </c>
      <c r="I124" s="344">
        <f t="shared" si="14"/>
        <v>80968.314490604826</v>
      </c>
      <c r="J124" s="162">
        <f t="shared" si="9"/>
        <v>0</v>
      </c>
      <c r="K124" s="162"/>
      <c r="L124" s="335"/>
      <c r="M124" s="162">
        <f t="shared" si="10"/>
        <v>0</v>
      </c>
      <c r="N124" s="335"/>
      <c r="O124" s="162">
        <f t="shared" si="11"/>
        <v>0</v>
      </c>
      <c r="P124" s="162">
        <f t="shared" si="12"/>
        <v>0</v>
      </c>
    </row>
    <row r="125" spans="2:16">
      <c r="B125" s="9" t="str">
        <f t="shared" si="15"/>
        <v/>
      </c>
      <c r="C125" s="157">
        <f>IF(D93="","-",+C124+1)</f>
        <v>2044</v>
      </c>
      <c r="D125" s="158">
        <f>IF(F124+SUM(E$99:E124)=D$92,F124,D$92-SUM(E$99:E124))</f>
        <v>502449</v>
      </c>
      <c r="E125" s="164">
        <f t="shared" si="16"/>
        <v>27915</v>
      </c>
      <c r="F125" s="163">
        <f t="shared" si="17"/>
        <v>474534</v>
      </c>
      <c r="G125" s="163">
        <f t="shared" si="18"/>
        <v>488491.5</v>
      </c>
      <c r="H125" s="333">
        <f t="shared" si="13"/>
        <v>78100.451142631413</v>
      </c>
      <c r="I125" s="344">
        <f t="shared" si="14"/>
        <v>78100.451142631413</v>
      </c>
      <c r="J125" s="162">
        <f t="shared" si="9"/>
        <v>0</v>
      </c>
      <c r="K125" s="162"/>
      <c r="L125" s="335"/>
      <c r="M125" s="162">
        <f t="shared" si="10"/>
        <v>0</v>
      </c>
      <c r="N125" s="335"/>
      <c r="O125" s="162">
        <f t="shared" si="11"/>
        <v>0</v>
      </c>
      <c r="P125" s="162">
        <f t="shared" si="12"/>
        <v>0</v>
      </c>
    </row>
    <row r="126" spans="2:16">
      <c r="B126" s="9" t="str">
        <f t="shared" si="15"/>
        <v/>
      </c>
      <c r="C126" s="157">
        <f>IF(D93="","-",+C125+1)</f>
        <v>2045</v>
      </c>
      <c r="D126" s="158">
        <f>IF(F125+SUM(E$99:E125)=D$92,F125,D$92-SUM(E$99:E125))</f>
        <v>474534</v>
      </c>
      <c r="E126" s="164">
        <f t="shared" si="16"/>
        <v>27915</v>
      </c>
      <c r="F126" s="163">
        <f t="shared" si="17"/>
        <v>446619</v>
      </c>
      <c r="G126" s="163">
        <f t="shared" si="18"/>
        <v>460576.5</v>
      </c>
      <c r="H126" s="333">
        <f t="shared" si="13"/>
        <v>75232.587794657986</v>
      </c>
      <c r="I126" s="344">
        <f t="shared" si="14"/>
        <v>75232.587794657986</v>
      </c>
      <c r="J126" s="162">
        <f t="shared" si="9"/>
        <v>0</v>
      </c>
      <c r="K126" s="162"/>
      <c r="L126" s="335"/>
      <c r="M126" s="162">
        <f t="shared" si="10"/>
        <v>0</v>
      </c>
      <c r="N126" s="335"/>
      <c r="O126" s="162">
        <f t="shared" si="11"/>
        <v>0</v>
      </c>
      <c r="P126" s="162">
        <f t="shared" si="12"/>
        <v>0</v>
      </c>
    </row>
    <row r="127" spans="2:16">
      <c r="B127" s="9" t="str">
        <f t="shared" si="15"/>
        <v/>
      </c>
      <c r="C127" s="157">
        <f>IF(D93="","-",+C126+1)</f>
        <v>2046</v>
      </c>
      <c r="D127" s="158">
        <f>IF(F126+SUM(E$99:E126)=D$92,F126,D$92-SUM(E$99:E126))</f>
        <v>446619</v>
      </c>
      <c r="E127" s="164">
        <f t="shared" si="16"/>
        <v>27915</v>
      </c>
      <c r="F127" s="163">
        <f t="shared" si="17"/>
        <v>418704</v>
      </c>
      <c r="G127" s="163">
        <f t="shared" si="18"/>
        <v>432661.5</v>
      </c>
      <c r="H127" s="333">
        <f t="shared" si="13"/>
        <v>72364.724446684573</v>
      </c>
      <c r="I127" s="344">
        <f t="shared" si="14"/>
        <v>72364.724446684573</v>
      </c>
      <c r="J127" s="162">
        <f t="shared" si="9"/>
        <v>0</v>
      </c>
      <c r="K127" s="162"/>
      <c r="L127" s="335"/>
      <c r="M127" s="162">
        <f t="shared" si="10"/>
        <v>0</v>
      </c>
      <c r="N127" s="335"/>
      <c r="O127" s="162">
        <f t="shared" si="11"/>
        <v>0</v>
      </c>
      <c r="P127" s="162">
        <f t="shared" si="12"/>
        <v>0</v>
      </c>
    </row>
    <row r="128" spans="2:16">
      <c r="B128" s="9" t="str">
        <f t="shared" si="15"/>
        <v/>
      </c>
      <c r="C128" s="157">
        <f>IF(D93="","-",+C127+1)</f>
        <v>2047</v>
      </c>
      <c r="D128" s="158">
        <f>IF(F127+SUM(E$99:E127)=D$92,F127,D$92-SUM(E$99:E127))</f>
        <v>418704</v>
      </c>
      <c r="E128" s="164">
        <f t="shared" si="16"/>
        <v>27915</v>
      </c>
      <c r="F128" s="163">
        <f t="shared" si="17"/>
        <v>390789</v>
      </c>
      <c r="G128" s="163">
        <f t="shared" si="18"/>
        <v>404746.5</v>
      </c>
      <c r="H128" s="333">
        <f t="shared" si="13"/>
        <v>69496.861098711161</v>
      </c>
      <c r="I128" s="344">
        <f t="shared" si="14"/>
        <v>69496.861098711161</v>
      </c>
      <c r="J128" s="162">
        <f t="shared" si="9"/>
        <v>0</v>
      </c>
      <c r="K128" s="162"/>
      <c r="L128" s="335"/>
      <c r="M128" s="162">
        <f t="shared" si="10"/>
        <v>0</v>
      </c>
      <c r="N128" s="335"/>
      <c r="O128" s="162">
        <f t="shared" si="11"/>
        <v>0</v>
      </c>
      <c r="P128" s="162">
        <f t="shared" si="12"/>
        <v>0</v>
      </c>
    </row>
    <row r="129" spans="2:16">
      <c r="B129" s="9" t="str">
        <f t="shared" si="15"/>
        <v/>
      </c>
      <c r="C129" s="157">
        <f>IF(D93="","-",+C128+1)</f>
        <v>2048</v>
      </c>
      <c r="D129" s="158">
        <f>IF(F128+SUM(E$99:E128)=D$92,F128,D$92-SUM(E$99:E128))</f>
        <v>390789</v>
      </c>
      <c r="E129" s="164">
        <f t="shared" si="16"/>
        <v>27915</v>
      </c>
      <c r="F129" s="163">
        <f t="shared" si="17"/>
        <v>362874</v>
      </c>
      <c r="G129" s="163">
        <f t="shared" si="18"/>
        <v>376831.5</v>
      </c>
      <c r="H129" s="333">
        <f t="shared" si="13"/>
        <v>66628.997750737733</v>
      </c>
      <c r="I129" s="344">
        <f t="shared" si="14"/>
        <v>66628.997750737733</v>
      </c>
      <c r="J129" s="162">
        <f t="shared" si="9"/>
        <v>0</v>
      </c>
      <c r="K129" s="162"/>
      <c r="L129" s="335"/>
      <c r="M129" s="162">
        <f t="shared" si="10"/>
        <v>0</v>
      </c>
      <c r="N129" s="335"/>
      <c r="O129" s="162">
        <f t="shared" si="11"/>
        <v>0</v>
      </c>
      <c r="P129" s="162">
        <f t="shared" si="12"/>
        <v>0</v>
      </c>
    </row>
    <row r="130" spans="2:16">
      <c r="B130" s="9" t="str">
        <f t="shared" si="15"/>
        <v/>
      </c>
      <c r="C130" s="157">
        <f>IF(D93="","-",+C129+1)</f>
        <v>2049</v>
      </c>
      <c r="D130" s="158">
        <f>IF(F129+SUM(E$99:E129)=D$92,F129,D$92-SUM(E$99:E129))</f>
        <v>362874</v>
      </c>
      <c r="E130" s="164">
        <f t="shared" si="16"/>
        <v>27915</v>
      </c>
      <c r="F130" s="163">
        <f t="shared" si="17"/>
        <v>334959</v>
      </c>
      <c r="G130" s="163">
        <f t="shared" si="18"/>
        <v>348916.5</v>
      </c>
      <c r="H130" s="333">
        <f t="shared" si="13"/>
        <v>63761.134402764328</v>
      </c>
      <c r="I130" s="344">
        <f t="shared" si="14"/>
        <v>63761.134402764328</v>
      </c>
      <c r="J130" s="162">
        <f t="shared" si="9"/>
        <v>0</v>
      </c>
      <c r="K130" s="162"/>
      <c r="L130" s="335"/>
      <c r="M130" s="162">
        <f t="shared" si="10"/>
        <v>0</v>
      </c>
      <c r="N130" s="335"/>
      <c r="O130" s="162">
        <f t="shared" si="11"/>
        <v>0</v>
      </c>
      <c r="P130" s="162">
        <f t="shared" si="12"/>
        <v>0</v>
      </c>
    </row>
    <row r="131" spans="2:16">
      <c r="B131" s="9" t="str">
        <f t="shared" si="15"/>
        <v/>
      </c>
      <c r="C131" s="157">
        <f>IF(D93="","-",+C130+1)</f>
        <v>2050</v>
      </c>
      <c r="D131" s="158">
        <f>IF(F130+SUM(E$99:E130)=D$92,F130,D$92-SUM(E$99:E130))</f>
        <v>334959</v>
      </c>
      <c r="E131" s="164">
        <f t="shared" si="16"/>
        <v>27915</v>
      </c>
      <c r="F131" s="163">
        <f t="shared" si="17"/>
        <v>307044</v>
      </c>
      <c r="G131" s="163">
        <f t="shared" si="18"/>
        <v>321001.5</v>
      </c>
      <c r="H131" s="333">
        <f t="shared" si="13"/>
        <v>60893.271054790908</v>
      </c>
      <c r="I131" s="344">
        <f t="shared" si="14"/>
        <v>60893.271054790908</v>
      </c>
      <c r="J131" s="162">
        <f t="shared" ref="J131:J154" si="19">+I541-H541</f>
        <v>0</v>
      </c>
      <c r="K131" s="162"/>
      <c r="L131" s="335"/>
      <c r="M131" s="162">
        <f t="shared" ref="M131:M154" si="20">IF(L541&lt;&gt;0,+H541-L541,0)</f>
        <v>0</v>
      </c>
      <c r="N131" s="335"/>
      <c r="O131" s="162">
        <f t="shared" ref="O131:O154" si="21">IF(N541&lt;&gt;0,+I541-N541,0)</f>
        <v>0</v>
      </c>
      <c r="P131" s="162">
        <f t="shared" ref="P131:P154" si="22">+O541-M541</f>
        <v>0</v>
      </c>
    </row>
    <row r="132" spans="2:16">
      <c r="B132" s="9" t="str">
        <f t="shared" si="15"/>
        <v/>
      </c>
      <c r="C132" s="157">
        <f>IF(D93="","-",+C131+1)</f>
        <v>2051</v>
      </c>
      <c r="D132" s="158">
        <f>IF(F131+SUM(E$99:E131)=D$92,F131,D$92-SUM(E$99:E131))</f>
        <v>307044</v>
      </c>
      <c r="E132" s="164">
        <f t="shared" si="16"/>
        <v>27915</v>
      </c>
      <c r="F132" s="163">
        <f t="shared" si="17"/>
        <v>279129</v>
      </c>
      <c r="G132" s="163">
        <f t="shared" si="18"/>
        <v>293086.5</v>
      </c>
      <c r="H132" s="333">
        <f t="shared" si="13"/>
        <v>58025.407706817496</v>
      </c>
      <c r="I132" s="344">
        <f t="shared" si="14"/>
        <v>58025.407706817496</v>
      </c>
      <c r="J132" s="162">
        <f t="shared" si="19"/>
        <v>0</v>
      </c>
      <c r="K132" s="162"/>
      <c r="L132" s="335"/>
      <c r="M132" s="162">
        <f t="shared" si="20"/>
        <v>0</v>
      </c>
      <c r="N132" s="335"/>
      <c r="O132" s="162">
        <f t="shared" si="21"/>
        <v>0</v>
      </c>
      <c r="P132" s="162">
        <f t="shared" si="22"/>
        <v>0</v>
      </c>
    </row>
    <row r="133" spans="2:16">
      <c r="B133" s="9" t="str">
        <f t="shared" si="15"/>
        <v/>
      </c>
      <c r="C133" s="157">
        <f>IF(D93="","-",+C132+1)</f>
        <v>2052</v>
      </c>
      <c r="D133" s="158">
        <f>IF(F132+SUM(E$99:E132)=D$92,F132,D$92-SUM(E$99:E132))</f>
        <v>279129</v>
      </c>
      <c r="E133" s="164">
        <f t="shared" si="16"/>
        <v>27915</v>
      </c>
      <c r="F133" s="163">
        <f t="shared" si="17"/>
        <v>251214</v>
      </c>
      <c r="G133" s="163">
        <f t="shared" si="18"/>
        <v>265171.5</v>
      </c>
      <c r="H133" s="333">
        <f t="shared" si="13"/>
        <v>55157.544358844083</v>
      </c>
      <c r="I133" s="344">
        <f t="shared" si="14"/>
        <v>55157.544358844083</v>
      </c>
      <c r="J133" s="162">
        <f t="shared" si="19"/>
        <v>0</v>
      </c>
      <c r="K133" s="162"/>
      <c r="L133" s="335"/>
      <c r="M133" s="162">
        <f t="shared" si="20"/>
        <v>0</v>
      </c>
      <c r="N133" s="335"/>
      <c r="O133" s="162">
        <f t="shared" si="21"/>
        <v>0</v>
      </c>
      <c r="P133" s="162">
        <f t="shared" si="22"/>
        <v>0</v>
      </c>
    </row>
    <row r="134" spans="2:16">
      <c r="B134" s="9" t="str">
        <f t="shared" si="15"/>
        <v/>
      </c>
      <c r="C134" s="157">
        <f>IF(D93="","-",+C133+1)</f>
        <v>2053</v>
      </c>
      <c r="D134" s="158">
        <f>IF(F133+SUM(E$99:E133)=D$92,F133,D$92-SUM(E$99:E133))</f>
        <v>251214</v>
      </c>
      <c r="E134" s="164">
        <f t="shared" si="16"/>
        <v>27915</v>
      </c>
      <c r="F134" s="163">
        <f t="shared" si="17"/>
        <v>223299</v>
      </c>
      <c r="G134" s="163">
        <f t="shared" si="18"/>
        <v>237256.5</v>
      </c>
      <c r="H134" s="333">
        <f t="shared" si="13"/>
        <v>52289.68101087067</v>
      </c>
      <c r="I134" s="344">
        <f t="shared" si="14"/>
        <v>52289.68101087067</v>
      </c>
      <c r="J134" s="162">
        <f t="shared" si="19"/>
        <v>0</v>
      </c>
      <c r="K134" s="162"/>
      <c r="L134" s="335"/>
      <c r="M134" s="162">
        <f t="shared" si="20"/>
        <v>0</v>
      </c>
      <c r="N134" s="335"/>
      <c r="O134" s="162">
        <f t="shared" si="21"/>
        <v>0</v>
      </c>
      <c r="P134" s="162">
        <f t="shared" si="22"/>
        <v>0</v>
      </c>
    </row>
    <row r="135" spans="2:16">
      <c r="B135" s="9" t="str">
        <f t="shared" si="15"/>
        <v/>
      </c>
      <c r="C135" s="157">
        <f>IF(D93="","-",+C134+1)</f>
        <v>2054</v>
      </c>
      <c r="D135" s="158">
        <f>IF(F134+SUM(E$99:E134)=D$92,F134,D$92-SUM(E$99:E134))</f>
        <v>223299</v>
      </c>
      <c r="E135" s="164">
        <f t="shared" si="16"/>
        <v>27915</v>
      </c>
      <c r="F135" s="163">
        <f t="shared" si="17"/>
        <v>195384</v>
      </c>
      <c r="G135" s="163">
        <f t="shared" si="18"/>
        <v>209341.5</v>
      </c>
      <c r="H135" s="333">
        <f t="shared" si="13"/>
        <v>49421.817662897251</v>
      </c>
      <c r="I135" s="344">
        <f t="shared" si="14"/>
        <v>49421.817662897251</v>
      </c>
      <c r="J135" s="162">
        <f t="shared" si="19"/>
        <v>0</v>
      </c>
      <c r="K135" s="162"/>
      <c r="L135" s="335"/>
      <c r="M135" s="162">
        <f t="shared" si="20"/>
        <v>0</v>
      </c>
      <c r="N135" s="335"/>
      <c r="O135" s="162">
        <f t="shared" si="21"/>
        <v>0</v>
      </c>
      <c r="P135" s="162">
        <f t="shared" si="22"/>
        <v>0</v>
      </c>
    </row>
    <row r="136" spans="2:16">
      <c r="B136" s="9" t="str">
        <f t="shared" si="15"/>
        <v/>
      </c>
      <c r="C136" s="157">
        <f>IF(D93="","-",+C135+1)</f>
        <v>2055</v>
      </c>
      <c r="D136" s="158">
        <f>IF(F135+SUM(E$99:E135)=D$92,F135,D$92-SUM(E$99:E135))</f>
        <v>195384</v>
      </c>
      <c r="E136" s="164">
        <f t="shared" si="16"/>
        <v>27915</v>
      </c>
      <c r="F136" s="163">
        <f t="shared" si="17"/>
        <v>167469</v>
      </c>
      <c r="G136" s="163">
        <f t="shared" si="18"/>
        <v>181426.5</v>
      </c>
      <c r="H136" s="333">
        <f t="shared" si="13"/>
        <v>46553.954314923831</v>
      </c>
      <c r="I136" s="344">
        <f t="shared" si="14"/>
        <v>46553.954314923831</v>
      </c>
      <c r="J136" s="162">
        <f t="shared" si="19"/>
        <v>0</v>
      </c>
      <c r="K136" s="162"/>
      <c r="L136" s="335"/>
      <c r="M136" s="162">
        <f t="shared" si="20"/>
        <v>0</v>
      </c>
      <c r="N136" s="335"/>
      <c r="O136" s="162">
        <f t="shared" si="21"/>
        <v>0</v>
      </c>
      <c r="P136" s="162">
        <f t="shared" si="22"/>
        <v>0</v>
      </c>
    </row>
    <row r="137" spans="2:16">
      <c r="B137" s="9" t="str">
        <f t="shared" si="15"/>
        <v/>
      </c>
      <c r="C137" s="157">
        <f>IF(D93="","-",+C136+1)</f>
        <v>2056</v>
      </c>
      <c r="D137" s="158">
        <f>IF(F136+SUM(E$99:E136)=D$92,F136,D$92-SUM(E$99:E136))</f>
        <v>167469</v>
      </c>
      <c r="E137" s="164">
        <f t="shared" si="16"/>
        <v>27915</v>
      </c>
      <c r="F137" s="163">
        <f t="shared" si="17"/>
        <v>139554</v>
      </c>
      <c r="G137" s="163">
        <f t="shared" si="18"/>
        <v>153511.5</v>
      </c>
      <c r="H137" s="333">
        <f t="shared" si="13"/>
        <v>43686.090966950418</v>
      </c>
      <c r="I137" s="344">
        <f t="shared" si="14"/>
        <v>43686.090966950418</v>
      </c>
      <c r="J137" s="162">
        <f t="shared" si="19"/>
        <v>0</v>
      </c>
      <c r="K137" s="162"/>
      <c r="L137" s="335"/>
      <c r="M137" s="162">
        <f t="shared" si="20"/>
        <v>0</v>
      </c>
      <c r="N137" s="335"/>
      <c r="O137" s="162">
        <f t="shared" si="21"/>
        <v>0</v>
      </c>
      <c r="P137" s="162">
        <f t="shared" si="22"/>
        <v>0</v>
      </c>
    </row>
    <row r="138" spans="2:16">
      <c r="B138" s="9" t="str">
        <f t="shared" si="15"/>
        <v/>
      </c>
      <c r="C138" s="157">
        <f>IF(D93="","-",+C137+1)</f>
        <v>2057</v>
      </c>
      <c r="D138" s="158">
        <f>IF(F137+SUM(E$99:E137)=D$92,F137,D$92-SUM(E$99:E137))</f>
        <v>139554</v>
      </c>
      <c r="E138" s="164">
        <f t="shared" si="16"/>
        <v>27915</v>
      </c>
      <c r="F138" s="163">
        <f t="shared" si="17"/>
        <v>111639</v>
      </c>
      <c r="G138" s="163">
        <f t="shared" si="18"/>
        <v>125596.5</v>
      </c>
      <c r="H138" s="333">
        <f t="shared" si="13"/>
        <v>40818.227618977005</v>
      </c>
      <c r="I138" s="344">
        <f t="shared" si="14"/>
        <v>40818.227618977005</v>
      </c>
      <c r="J138" s="162">
        <f t="shared" si="19"/>
        <v>0</v>
      </c>
      <c r="K138" s="162"/>
      <c r="L138" s="335"/>
      <c r="M138" s="162">
        <f t="shared" si="20"/>
        <v>0</v>
      </c>
      <c r="N138" s="335"/>
      <c r="O138" s="162">
        <f t="shared" si="21"/>
        <v>0</v>
      </c>
      <c r="P138" s="162">
        <f t="shared" si="22"/>
        <v>0</v>
      </c>
    </row>
    <row r="139" spans="2:16">
      <c r="B139" s="9" t="str">
        <f t="shared" si="15"/>
        <v/>
      </c>
      <c r="C139" s="157">
        <f>IF(D93="","-",+C138+1)</f>
        <v>2058</v>
      </c>
      <c r="D139" s="158">
        <f>IF(F138+SUM(E$99:E138)=D$92,F138,D$92-SUM(E$99:E138))</f>
        <v>111639</v>
      </c>
      <c r="E139" s="164">
        <f t="shared" si="16"/>
        <v>27915</v>
      </c>
      <c r="F139" s="163">
        <f t="shared" si="17"/>
        <v>83724</v>
      </c>
      <c r="G139" s="163">
        <f t="shared" si="18"/>
        <v>97681.5</v>
      </c>
      <c r="H139" s="333">
        <f t="shared" si="13"/>
        <v>37950.364271003593</v>
      </c>
      <c r="I139" s="344">
        <f t="shared" si="14"/>
        <v>37950.364271003593</v>
      </c>
      <c r="J139" s="162">
        <f t="shared" si="19"/>
        <v>0</v>
      </c>
      <c r="K139" s="162"/>
      <c r="L139" s="335"/>
      <c r="M139" s="162">
        <f t="shared" si="20"/>
        <v>0</v>
      </c>
      <c r="N139" s="335"/>
      <c r="O139" s="162">
        <f t="shared" si="21"/>
        <v>0</v>
      </c>
      <c r="P139" s="162">
        <f t="shared" si="22"/>
        <v>0</v>
      </c>
    </row>
    <row r="140" spans="2:16">
      <c r="B140" s="9" t="str">
        <f t="shared" si="15"/>
        <v/>
      </c>
      <c r="C140" s="157">
        <f>IF(D93="","-",+C139+1)</f>
        <v>2059</v>
      </c>
      <c r="D140" s="158">
        <f>IF(F139+SUM(E$99:E139)=D$92,F139,D$92-SUM(E$99:E139))</f>
        <v>83724</v>
      </c>
      <c r="E140" s="164">
        <f t="shared" si="16"/>
        <v>27915</v>
      </c>
      <c r="F140" s="163">
        <f t="shared" si="17"/>
        <v>55809</v>
      </c>
      <c r="G140" s="163">
        <f t="shared" si="18"/>
        <v>69766.5</v>
      </c>
      <c r="H140" s="333">
        <f t="shared" si="13"/>
        <v>35082.500923030173</v>
      </c>
      <c r="I140" s="344">
        <f t="shared" si="14"/>
        <v>35082.500923030173</v>
      </c>
      <c r="J140" s="162">
        <f t="shared" si="19"/>
        <v>0</v>
      </c>
      <c r="K140" s="162"/>
      <c r="L140" s="335"/>
      <c r="M140" s="162">
        <f t="shared" si="20"/>
        <v>0</v>
      </c>
      <c r="N140" s="335"/>
      <c r="O140" s="162">
        <f t="shared" si="21"/>
        <v>0</v>
      </c>
      <c r="P140" s="162">
        <f t="shared" si="22"/>
        <v>0</v>
      </c>
    </row>
    <row r="141" spans="2:16">
      <c r="B141" s="9" t="str">
        <f t="shared" si="15"/>
        <v/>
      </c>
      <c r="C141" s="157">
        <f>IF(D93="","-",+C140+1)</f>
        <v>2060</v>
      </c>
      <c r="D141" s="158">
        <f>IF(F140+SUM(E$99:E140)=D$92,F140,D$92-SUM(E$99:E140))</f>
        <v>55809</v>
      </c>
      <c r="E141" s="164">
        <f t="shared" si="16"/>
        <v>27915</v>
      </c>
      <c r="F141" s="163">
        <f t="shared" si="17"/>
        <v>27894</v>
      </c>
      <c r="G141" s="163">
        <f t="shared" si="18"/>
        <v>41851.5</v>
      </c>
      <c r="H141" s="333">
        <f t="shared" si="13"/>
        <v>32214.637575056757</v>
      </c>
      <c r="I141" s="344">
        <f t="shared" si="14"/>
        <v>32214.637575056757</v>
      </c>
      <c r="J141" s="162">
        <f t="shared" si="19"/>
        <v>0</v>
      </c>
      <c r="K141" s="162"/>
      <c r="L141" s="335"/>
      <c r="M141" s="162">
        <f t="shared" si="20"/>
        <v>0</v>
      </c>
      <c r="N141" s="335"/>
      <c r="O141" s="162">
        <f t="shared" si="21"/>
        <v>0</v>
      </c>
      <c r="P141" s="162">
        <f t="shared" si="22"/>
        <v>0</v>
      </c>
    </row>
    <row r="142" spans="2:16">
      <c r="B142" s="9" t="str">
        <f t="shared" si="15"/>
        <v/>
      </c>
      <c r="C142" s="157">
        <f>IF(D93="","-",+C141+1)</f>
        <v>2061</v>
      </c>
      <c r="D142" s="158">
        <f>IF(F141+SUM(E$99:E141)=D$92,F141,D$92-SUM(E$99:E141))</f>
        <v>27894</v>
      </c>
      <c r="E142" s="164">
        <f t="shared" si="16"/>
        <v>27894</v>
      </c>
      <c r="F142" s="163">
        <f t="shared" si="17"/>
        <v>0</v>
      </c>
      <c r="G142" s="163">
        <f t="shared" si="18"/>
        <v>13947</v>
      </c>
      <c r="H142" s="333">
        <f t="shared" si="13"/>
        <v>29326.852950535023</v>
      </c>
      <c r="I142" s="344">
        <f t="shared" si="14"/>
        <v>29326.852950535023</v>
      </c>
      <c r="J142" s="162">
        <f t="shared" si="19"/>
        <v>0</v>
      </c>
      <c r="K142" s="162"/>
      <c r="L142" s="335"/>
      <c r="M142" s="162">
        <f t="shared" si="20"/>
        <v>0</v>
      </c>
      <c r="N142" s="335"/>
      <c r="O142" s="162">
        <f t="shared" si="21"/>
        <v>0</v>
      </c>
      <c r="P142" s="162">
        <f t="shared" si="22"/>
        <v>0</v>
      </c>
    </row>
    <row r="143" spans="2:16">
      <c r="B143" s="9" t="str">
        <f t="shared" si="15"/>
        <v/>
      </c>
      <c r="C143" s="157">
        <f>IF(D93="","-",+C142+1)</f>
        <v>2062</v>
      </c>
      <c r="D143" s="158">
        <f>IF(F142+SUM(E$99:E142)=D$92,F142,D$92-SUM(E$99:E142))</f>
        <v>0</v>
      </c>
      <c r="E143" s="164">
        <f t="shared" si="16"/>
        <v>0</v>
      </c>
      <c r="F143" s="163">
        <f t="shared" si="17"/>
        <v>0</v>
      </c>
      <c r="G143" s="163">
        <f t="shared" si="18"/>
        <v>0</v>
      </c>
      <c r="H143" s="333">
        <f t="shared" si="13"/>
        <v>0</v>
      </c>
      <c r="I143" s="344">
        <f t="shared" si="14"/>
        <v>0</v>
      </c>
      <c r="J143" s="162">
        <f t="shared" si="19"/>
        <v>0</v>
      </c>
      <c r="K143" s="162"/>
      <c r="L143" s="335"/>
      <c r="M143" s="162">
        <f t="shared" si="20"/>
        <v>0</v>
      </c>
      <c r="N143" s="335"/>
      <c r="O143" s="162">
        <f t="shared" si="21"/>
        <v>0</v>
      </c>
      <c r="P143" s="162">
        <f t="shared" si="22"/>
        <v>0</v>
      </c>
    </row>
    <row r="144" spans="2:16">
      <c r="B144" s="9" t="str">
        <f t="shared" si="15"/>
        <v/>
      </c>
      <c r="C144" s="157">
        <f>IF(D93="","-",+C143+1)</f>
        <v>2063</v>
      </c>
      <c r="D144" s="158">
        <f>IF(F143+SUM(E$99:E143)=D$92,F143,D$92-SUM(E$99:E143))</f>
        <v>0</v>
      </c>
      <c r="E144" s="164">
        <f t="shared" si="16"/>
        <v>0</v>
      </c>
      <c r="F144" s="163">
        <f t="shared" si="17"/>
        <v>0</v>
      </c>
      <c r="G144" s="163">
        <f t="shared" si="18"/>
        <v>0</v>
      </c>
      <c r="H144" s="333">
        <f t="shared" si="13"/>
        <v>0</v>
      </c>
      <c r="I144" s="344">
        <f t="shared" si="14"/>
        <v>0</v>
      </c>
      <c r="J144" s="162">
        <f t="shared" si="19"/>
        <v>0</v>
      </c>
      <c r="K144" s="162"/>
      <c r="L144" s="335"/>
      <c r="M144" s="162">
        <f t="shared" si="20"/>
        <v>0</v>
      </c>
      <c r="N144" s="335"/>
      <c r="O144" s="162">
        <f t="shared" si="21"/>
        <v>0</v>
      </c>
      <c r="P144" s="162">
        <f t="shared" si="22"/>
        <v>0</v>
      </c>
    </row>
    <row r="145" spans="2:16">
      <c r="B145" s="9" t="str">
        <f t="shared" si="15"/>
        <v/>
      </c>
      <c r="C145" s="157">
        <f>IF(D93="","-",+C144+1)</f>
        <v>2064</v>
      </c>
      <c r="D145" s="158">
        <f>IF(F144+SUM(E$99:E144)=D$92,F144,D$92-SUM(E$99:E144))</f>
        <v>0</v>
      </c>
      <c r="E145" s="164">
        <f t="shared" si="16"/>
        <v>0</v>
      </c>
      <c r="F145" s="163">
        <f t="shared" si="17"/>
        <v>0</v>
      </c>
      <c r="G145" s="163">
        <f t="shared" si="18"/>
        <v>0</v>
      </c>
      <c r="H145" s="333">
        <f t="shared" si="13"/>
        <v>0</v>
      </c>
      <c r="I145" s="344">
        <f t="shared" si="14"/>
        <v>0</v>
      </c>
      <c r="J145" s="162">
        <f t="shared" si="19"/>
        <v>0</v>
      </c>
      <c r="K145" s="162"/>
      <c r="L145" s="335"/>
      <c r="M145" s="162">
        <f t="shared" si="20"/>
        <v>0</v>
      </c>
      <c r="N145" s="335"/>
      <c r="O145" s="162">
        <f t="shared" si="21"/>
        <v>0</v>
      </c>
      <c r="P145" s="162">
        <f t="shared" si="22"/>
        <v>0</v>
      </c>
    </row>
    <row r="146" spans="2:16">
      <c r="B146" s="9" t="str">
        <f t="shared" si="15"/>
        <v/>
      </c>
      <c r="C146" s="157">
        <f>IF(D93="","-",+C145+1)</f>
        <v>2065</v>
      </c>
      <c r="D146" s="158">
        <f>IF(F145+SUM(E$99:E145)=D$92,F145,D$92-SUM(E$99:E145))</f>
        <v>0</v>
      </c>
      <c r="E146" s="164">
        <f t="shared" si="16"/>
        <v>0</v>
      </c>
      <c r="F146" s="163">
        <f t="shared" si="17"/>
        <v>0</v>
      </c>
      <c r="G146" s="163">
        <f t="shared" si="18"/>
        <v>0</v>
      </c>
      <c r="H146" s="333">
        <f t="shared" si="13"/>
        <v>0</v>
      </c>
      <c r="I146" s="344">
        <f t="shared" si="14"/>
        <v>0</v>
      </c>
      <c r="J146" s="162">
        <f t="shared" si="19"/>
        <v>0</v>
      </c>
      <c r="K146" s="162"/>
      <c r="L146" s="335"/>
      <c r="M146" s="162">
        <f t="shared" si="20"/>
        <v>0</v>
      </c>
      <c r="N146" s="335"/>
      <c r="O146" s="162">
        <f t="shared" si="21"/>
        <v>0</v>
      </c>
      <c r="P146" s="162">
        <f t="shared" si="22"/>
        <v>0</v>
      </c>
    </row>
    <row r="147" spans="2:16">
      <c r="B147" s="9" t="str">
        <f t="shared" si="15"/>
        <v/>
      </c>
      <c r="C147" s="157">
        <f>IF(D93="","-",+C146+1)</f>
        <v>2066</v>
      </c>
      <c r="D147" s="158">
        <f>IF(F146+SUM(E$99:E146)=D$92,F146,D$92-SUM(E$99:E146))</f>
        <v>0</v>
      </c>
      <c r="E147" s="164">
        <f t="shared" si="16"/>
        <v>0</v>
      </c>
      <c r="F147" s="163">
        <f t="shared" si="17"/>
        <v>0</v>
      </c>
      <c r="G147" s="163">
        <f t="shared" si="18"/>
        <v>0</v>
      </c>
      <c r="H147" s="333">
        <f t="shared" si="13"/>
        <v>0</v>
      </c>
      <c r="I147" s="344">
        <f t="shared" si="14"/>
        <v>0</v>
      </c>
      <c r="J147" s="162">
        <f t="shared" si="19"/>
        <v>0</v>
      </c>
      <c r="K147" s="162"/>
      <c r="L147" s="335"/>
      <c r="M147" s="162">
        <f t="shared" si="20"/>
        <v>0</v>
      </c>
      <c r="N147" s="335"/>
      <c r="O147" s="162">
        <f t="shared" si="21"/>
        <v>0</v>
      </c>
      <c r="P147" s="162">
        <f t="shared" si="22"/>
        <v>0</v>
      </c>
    </row>
    <row r="148" spans="2:16">
      <c r="B148" s="9" t="str">
        <f t="shared" si="15"/>
        <v/>
      </c>
      <c r="C148" s="157">
        <f>IF(D93="","-",+C147+1)</f>
        <v>2067</v>
      </c>
      <c r="D148" s="158">
        <f>IF(F147+SUM(E$99:E147)=D$92,F147,D$92-SUM(E$99:E147))</f>
        <v>0</v>
      </c>
      <c r="E148" s="164">
        <f t="shared" si="16"/>
        <v>0</v>
      </c>
      <c r="F148" s="163">
        <f t="shared" si="17"/>
        <v>0</v>
      </c>
      <c r="G148" s="163">
        <f t="shared" si="18"/>
        <v>0</v>
      </c>
      <c r="H148" s="333">
        <f t="shared" si="13"/>
        <v>0</v>
      </c>
      <c r="I148" s="344">
        <f t="shared" si="14"/>
        <v>0</v>
      </c>
      <c r="J148" s="162">
        <f t="shared" si="19"/>
        <v>0</v>
      </c>
      <c r="K148" s="162"/>
      <c r="L148" s="335"/>
      <c r="M148" s="162">
        <f t="shared" si="20"/>
        <v>0</v>
      </c>
      <c r="N148" s="335"/>
      <c r="O148" s="162">
        <f t="shared" si="21"/>
        <v>0</v>
      </c>
      <c r="P148" s="162">
        <f t="shared" si="22"/>
        <v>0</v>
      </c>
    </row>
    <row r="149" spans="2:16">
      <c r="B149" s="9" t="str">
        <f t="shared" si="15"/>
        <v/>
      </c>
      <c r="C149" s="157">
        <f>IF(D93="","-",+C148+1)</f>
        <v>2068</v>
      </c>
      <c r="D149" s="158">
        <f>IF(F148+SUM(E$99:E148)=D$92,F148,D$92-SUM(E$99:E148))</f>
        <v>0</v>
      </c>
      <c r="E149" s="164">
        <f t="shared" si="16"/>
        <v>0</v>
      </c>
      <c r="F149" s="163">
        <f t="shared" si="17"/>
        <v>0</v>
      </c>
      <c r="G149" s="163">
        <f t="shared" si="18"/>
        <v>0</v>
      </c>
      <c r="H149" s="333">
        <f t="shared" si="13"/>
        <v>0</v>
      </c>
      <c r="I149" s="344">
        <f t="shared" si="14"/>
        <v>0</v>
      </c>
      <c r="J149" s="162">
        <f t="shared" si="19"/>
        <v>0</v>
      </c>
      <c r="K149" s="162"/>
      <c r="L149" s="335"/>
      <c r="M149" s="162">
        <f t="shared" si="20"/>
        <v>0</v>
      </c>
      <c r="N149" s="335"/>
      <c r="O149" s="162">
        <f t="shared" si="21"/>
        <v>0</v>
      </c>
      <c r="P149" s="162">
        <f t="shared" si="22"/>
        <v>0</v>
      </c>
    </row>
    <row r="150" spans="2:16">
      <c r="B150" s="9" t="str">
        <f t="shared" si="15"/>
        <v/>
      </c>
      <c r="C150" s="157">
        <f>IF(D93="","-",+C149+1)</f>
        <v>2069</v>
      </c>
      <c r="D150" s="158">
        <f>IF(F149+SUM(E$99:E149)=D$92,F149,D$92-SUM(E$99:E149))</f>
        <v>0</v>
      </c>
      <c r="E150" s="164">
        <f t="shared" si="16"/>
        <v>0</v>
      </c>
      <c r="F150" s="163">
        <f t="shared" si="17"/>
        <v>0</v>
      </c>
      <c r="G150" s="163">
        <f t="shared" si="18"/>
        <v>0</v>
      </c>
      <c r="H150" s="333">
        <f t="shared" si="13"/>
        <v>0</v>
      </c>
      <c r="I150" s="344">
        <f t="shared" si="14"/>
        <v>0</v>
      </c>
      <c r="J150" s="162">
        <f t="shared" si="19"/>
        <v>0</v>
      </c>
      <c r="K150" s="162"/>
      <c r="L150" s="335"/>
      <c r="M150" s="162">
        <f t="shared" si="20"/>
        <v>0</v>
      </c>
      <c r="N150" s="335"/>
      <c r="O150" s="162">
        <f t="shared" si="21"/>
        <v>0</v>
      </c>
      <c r="P150" s="162">
        <f t="shared" si="22"/>
        <v>0</v>
      </c>
    </row>
    <row r="151" spans="2:16">
      <c r="B151" s="9" t="str">
        <f t="shared" si="15"/>
        <v/>
      </c>
      <c r="C151" s="157">
        <f>IF(D93="","-",+C150+1)</f>
        <v>2070</v>
      </c>
      <c r="D151" s="158">
        <f>IF(F150+SUM(E$99:E150)=D$92,F150,D$92-SUM(E$99:E150))</f>
        <v>0</v>
      </c>
      <c r="E151" s="164">
        <f t="shared" si="16"/>
        <v>0</v>
      </c>
      <c r="F151" s="163">
        <f t="shared" si="17"/>
        <v>0</v>
      </c>
      <c r="G151" s="163">
        <f t="shared" si="18"/>
        <v>0</v>
      </c>
      <c r="H151" s="333">
        <f t="shared" si="13"/>
        <v>0</v>
      </c>
      <c r="I151" s="344">
        <f t="shared" si="14"/>
        <v>0</v>
      </c>
      <c r="J151" s="162">
        <f t="shared" si="19"/>
        <v>0</v>
      </c>
      <c r="K151" s="162"/>
      <c r="L151" s="335"/>
      <c r="M151" s="162">
        <f t="shared" si="20"/>
        <v>0</v>
      </c>
      <c r="N151" s="335"/>
      <c r="O151" s="162">
        <f t="shared" si="21"/>
        <v>0</v>
      </c>
      <c r="P151" s="162">
        <f t="shared" si="22"/>
        <v>0</v>
      </c>
    </row>
    <row r="152" spans="2:16">
      <c r="B152" s="9" t="str">
        <f t="shared" si="15"/>
        <v/>
      </c>
      <c r="C152" s="157">
        <f>IF(D93="","-",+C151+1)</f>
        <v>2071</v>
      </c>
      <c r="D152" s="158">
        <f>IF(F151+SUM(E$99:E151)=D$92,F151,D$92-SUM(E$99:E151))</f>
        <v>0</v>
      </c>
      <c r="E152" s="164">
        <f t="shared" si="16"/>
        <v>0</v>
      </c>
      <c r="F152" s="163">
        <f t="shared" si="17"/>
        <v>0</v>
      </c>
      <c r="G152" s="163">
        <f t="shared" si="18"/>
        <v>0</v>
      </c>
      <c r="H152" s="333">
        <f t="shared" si="13"/>
        <v>0</v>
      </c>
      <c r="I152" s="344">
        <f t="shared" si="14"/>
        <v>0</v>
      </c>
      <c r="J152" s="162">
        <f t="shared" si="19"/>
        <v>0</v>
      </c>
      <c r="K152" s="162"/>
      <c r="L152" s="335"/>
      <c r="M152" s="162">
        <f t="shared" si="20"/>
        <v>0</v>
      </c>
      <c r="N152" s="335"/>
      <c r="O152" s="162">
        <f t="shared" si="21"/>
        <v>0</v>
      </c>
      <c r="P152" s="162">
        <f t="shared" si="22"/>
        <v>0</v>
      </c>
    </row>
    <row r="153" spans="2:16">
      <c r="B153" s="9" t="str">
        <f t="shared" si="15"/>
        <v/>
      </c>
      <c r="C153" s="157">
        <f>IF(D93="","-",+C152+1)</f>
        <v>2072</v>
      </c>
      <c r="D153" s="158">
        <f>IF(F152+SUM(E$99:E152)=D$92,F152,D$92-SUM(E$99:E152))</f>
        <v>0</v>
      </c>
      <c r="E153" s="164">
        <f t="shared" si="16"/>
        <v>0</v>
      </c>
      <c r="F153" s="163">
        <f t="shared" si="17"/>
        <v>0</v>
      </c>
      <c r="G153" s="163">
        <f t="shared" si="18"/>
        <v>0</v>
      </c>
      <c r="H153" s="333">
        <f t="shared" si="13"/>
        <v>0</v>
      </c>
      <c r="I153" s="344">
        <f t="shared" si="14"/>
        <v>0</v>
      </c>
      <c r="J153" s="162">
        <f t="shared" si="19"/>
        <v>0</v>
      </c>
      <c r="K153" s="162"/>
      <c r="L153" s="335"/>
      <c r="M153" s="162">
        <f t="shared" si="20"/>
        <v>0</v>
      </c>
      <c r="N153" s="335"/>
      <c r="O153" s="162">
        <f t="shared" si="21"/>
        <v>0</v>
      </c>
      <c r="P153" s="162">
        <f t="shared" si="22"/>
        <v>0</v>
      </c>
    </row>
    <row r="154" spans="2:16" ht="13.5" thickBot="1">
      <c r="B154" s="9" t="str">
        <f t="shared" si="15"/>
        <v/>
      </c>
      <c r="C154" s="168">
        <f>IF(D93="","-",+C153+1)</f>
        <v>2073</v>
      </c>
      <c r="D154" s="170">
        <f>IF(F153+SUM(E$99:E153)=D$92,F153,D$92-SUM(E$99:E153))</f>
        <v>0</v>
      </c>
      <c r="E154" s="170">
        <f t="shared" si="16"/>
        <v>0</v>
      </c>
      <c r="F154" s="169">
        <f t="shared" si="17"/>
        <v>0</v>
      </c>
      <c r="G154" s="169">
        <f t="shared" si="18"/>
        <v>0</v>
      </c>
      <c r="H154" s="345">
        <f t="shared" si="13"/>
        <v>0</v>
      </c>
      <c r="I154" s="346">
        <f t="shared" si="14"/>
        <v>0</v>
      </c>
      <c r="J154" s="173">
        <f t="shared" si="19"/>
        <v>0</v>
      </c>
      <c r="K154" s="162"/>
      <c r="L154" s="336"/>
      <c r="M154" s="173">
        <f t="shared" si="20"/>
        <v>0</v>
      </c>
      <c r="N154" s="336"/>
      <c r="O154" s="173">
        <f t="shared" si="21"/>
        <v>0</v>
      </c>
      <c r="P154" s="173">
        <f t="shared" si="22"/>
        <v>0</v>
      </c>
    </row>
    <row r="155" spans="2:16">
      <c r="C155" s="158" t="s">
        <v>72</v>
      </c>
      <c r="D155" s="115"/>
      <c r="E155" s="115">
        <f>SUM(E99:E154)</f>
        <v>1200324</v>
      </c>
      <c r="F155" s="115"/>
      <c r="G155" s="115"/>
      <c r="H155" s="115">
        <f>SUM(H99:H154)</f>
        <v>3942903.89261716</v>
      </c>
      <c r="I155" s="115">
        <f>SUM(I99:I154)</f>
        <v>3942903.89261716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conditionalFormatting sqref="C17:C72">
    <cfRule type="cellIs" dxfId="13" priority="1" stopIfTrue="1" operator="equal">
      <formula>$I$10</formula>
    </cfRule>
  </conditionalFormatting>
  <conditionalFormatting sqref="C99:C154">
    <cfRule type="cellIs" dxfId="12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topLeftCell="A73" zoomScale="78" zoomScaleNormal="78" workbookViewId="0">
      <selection activeCell="H99" sqref="H99:I99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419" t="s">
        <v>142</v>
      </c>
      <c r="B1" s="420"/>
      <c r="C1" s="419"/>
      <c r="D1" s="420"/>
      <c r="E1" s="424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"&amp;RIGHT(MID(CELL("filename",$A$1),FIND("]",CELL("filename",$A$1))+1,256),2)&amp;" of "&amp;COUNT('P.001:P.xyz - blank'!$P$3)-1</f>
        <v>PSO Project 24 of 28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275</v>
      </c>
      <c r="L5" s="119"/>
      <c r="M5" s="120"/>
      <c r="N5" s="121">
        <f>VLOOKUP(I10,C17:I72,5)</f>
        <v>35671.491974766584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276</v>
      </c>
      <c r="L6" s="125"/>
      <c r="M6" s="4"/>
      <c r="N6" s="126">
        <f>VLOOKUP(I10,C17:I72,6)</f>
        <v>35671.491974766584</v>
      </c>
      <c r="O6" s="1"/>
      <c r="P6" s="1"/>
    </row>
    <row r="7" spans="1:16" ht="13.5" thickBot="1">
      <c r="C7" s="127" t="s">
        <v>41</v>
      </c>
      <c r="D7" s="227" t="s">
        <v>287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/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43</v>
      </c>
      <c r="D9" s="229"/>
      <c r="E9" s="427" t="s">
        <v>297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302080</v>
      </c>
      <c r="E10" s="64" t="s">
        <v>46</v>
      </c>
      <c r="F10" s="137"/>
      <c r="G10" s="139"/>
      <c r="H10" s="139"/>
      <c r="I10" s="140">
        <f>+PSO.WS.F.BPU.ATRR.Projected!L19</f>
        <v>2020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2018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12</v>
      </c>
      <c r="E12" s="141" t="s">
        <v>51</v>
      </c>
      <c r="F12" s="139"/>
      <c r="G12" s="7"/>
      <c r="H12" s="7"/>
      <c r="I12" s="145">
        <f>PSO.WS.F.BPU.ATRR.Projected!$F$81</f>
        <v>0.10800477690995318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42</v>
      </c>
      <c r="E13" s="141" t="s">
        <v>54</v>
      </c>
      <c r="F13" s="139"/>
      <c r="G13" s="7"/>
      <c r="H13" s="7"/>
      <c r="I13" s="145">
        <f>IF(G5="",I12,PSO.WS.F.BPU.ATRR.Projected!$F$80)</f>
        <v>0.10800477690995318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7192.3809523809523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277</v>
      </c>
      <c r="H15" s="362" t="s">
        <v>278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2018</v>
      </c>
      <c r="D17" s="464">
        <v>0</v>
      </c>
      <c r="E17" s="467">
        <v>11600</v>
      </c>
      <c r="F17" s="465">
        <v>1032400</v>
      </c>
      <c r="G17" s="467">
        <v>81460.13871045578</v>
      </c>
      <c r="H17" s="466">
        <v>81460.13871045578</v>
      </c>
      <c r="I17" s="160">
        <f t="shared" ref="I17:I72" si="0">H17-G17</f>
        <v>0</v>
      </c>
      <c r="J17" s="160"/>
      <c r="K17" s="337">
        <f>+G17</f>
        <v>81460.13871045578</v>
      </c>
      <c r="L17" s="161">
        <f t="shared" ref="L17:L72" si="1">IF(K17&lt;&gt;0,+G17-K17,0)</f>
        <v>0</v>
      </c>
      <c r="M17" s="337">
        <f>+H17</f>
        <v>81460.13871045578</v>
      </c>
      <c r="N17" s="161">
        <f t="shared" ref="N17:N72" si="2">IF(M17&lt;&gt;0,+H17-M17,0)</f>
        <v>0</v>
      </c>
      <c r="O17" s="162">
        <f t="shared" ref="O17:O72" si="3">+N17-L17</f>
        <v>0</v>
      </c>
      <c r="P17" s="4"/>
    </row>
    <row r="18" spans="2:16">
      <c r="B18" s="9" t="str">
        <f>IF(D18=F17,"","IU")</f>
        <v/>
      </c>
      <c r="C18" s="157">
        <f>IF(D11="","-",+C17+1)</f>
        <v>2019</v>
      </c>
      <c r="D18" s="419">
        <v>1032400</v>
      </c>
      <c r="E18" s="420">
        <v>23200</v>
      </c>
      <c r="F18" s="419">
        <v>1009200</v>
      </c>
      <c r="G18" s="420">
        <v>161350.38666337324</v>
      </c>
      <c r="H18" s="424">
        <v>161350.38666337324</v>
      </c>
      <c r="I18" s="160">
        <f t="shared" si="0"/>
        <v>0</v>
      </c>
      <c r="J18" s="160"/>
      <c r="K18" s="338">
        <f>G18</f>
        <v>161350.38666337324</v>
      </c>
      <c r="L18" s="175">
        <f>IF(K18&lt;&gt;0,+G18-K18,0)</f>
        <v>0</v>
      </c>
      <c r="M18" s="338">
        <f>H18</f>
        <v>161350.38666337324</v>
      </c>
      <c r="N18" s="160">
        <f>IF(M18&lt;&gt;0,+H18-M18,0)</f>
        <v>0</v>
      </c>
      <c r="O18" s="162">
        <f>+N18-L18</f>
        <v>0</v>
      </c>
      <c r="P18" s="4"/>
    </row>
    <row r="19" spans="2:16">
      <c r="B19" s="9" t="str">
        <f>IF(D19=F18,"","IU")</f>
        <v>IU</v>
      </c>
      <c r="C19" s="157">
        <f>IF(D11="","-",+C18+1)</f>
        <v>2020</v>
      </c>
      <c r="D19" s="166">
        <f>IF(F18+SUM(E$17:E18)=D$10,F18,D$10-SUM(E$17:E18))</f>
        <v>267280</v>
      </c>
      <c r="E19" s="164">
        <f t="shared" ref="E19:E72" si="4">IF(+I$14&lt;F18,I$14,D19)</f>
        <v>7192.3809523809523</v>
      </c>
      <c r="F19" s="163">
        <f t="shared" ref="F19:F72" si="5">+D19-E19</f>
        <v>260087.61904761905</v>
      </c>
      <c r="G19" s="165">
        <f t="shared" ref="G19:G72" si="6">(D19+F19)/2*I$12+E19</f>
        <v>35671.491974766584</v>
      </c>
      <c r="H19" s="147">
        <f t="shared" ref="H19:H72" si="7">+(D19+F19)/2*I$13+E19</f>
        <v>35671.491974766584</v>
      </c>
      <c r="I19" s="160">
        <f t="shared" si="0"/>
        <v>0</v>
      </c>
      <c r="J19" s="160"/>
      <c r="K19" s="335"/>
      <c r="L19" s="162">
        <f t="shared" si="1"/>
        <v>0</v>
      </c>
      <c r="M19" s="335"/>
      <c r="N19" s="162">
        <f t="shared" si="2"/>
        <v>0</v>
      </c>
      <c r="O19" s="162">
        <f t="shared" si="3"/>
        <v>0</v>
      </c>
      <c r="P19" s="4"/>
    </row>
    <row r="20" spans="2:16">
      <c r="B20" s="9" t="str">
        <f t="shared" ref="B20:B72" si="8">IF(D20=F19,"","IU")</f>
        <v/>
      </c>
      <c r="C20" s="157">
        <f>IF(D11="","-",+C19+1)</f>
        <v>2021</v>
      </c>
      <c r="D20" s="166">
        <f>IF(F19+SUM(E$17:E19)=D$10,F19,D$10-SUM(E$17:E19))</f>
        <v>260087.61904761905</v>
      </c>
      <c r="E20" s="164">
        <f t="shared" si="4"/>
        <v>7192.3809523809523</v>
      </c>
      <c r="F20" s="163">
        <f t="shared" si="5"/>
        <v>252895.23809523811</v>
      </c>
      <c r="G20" s="165">
        <f t="shared" si="6"/>
        <v>34894.680474553286</v>
      </c>
      <c r="H20" s="147">
        <f t="shared" si="7"/>
        <v>34894.680474553286</v>
      </c>
      <c r="I20" s="160">
        <f t="shared" si="0"/>
        <v>0</v>
      </c>
      <c r="J20" s="160"/>
      <c r="K20" s="335"/>
      <c r="L20" s="162">
        <f t="shared" si="1"/>
        <v>0</v>
      </c>
      <c r="M20" s="335"/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8"/>
        <v/>
      </c>
      <c r="C21" s="157">
        <f>IF(D11="","-",+C20+1)</f>
        <v>2022</v>
      </c>
      <c r="D21" s="166">
        <f>IF(F20+SUM(E$17:E20)=D$10,F20,D$10-SUM(E$17:E20))</f>
        <v>252895.23809523811</v>
      </c>
      <c r="E21" s="164">
        <f t="shared" si="4"/>
        <v>7192.3809523809523</v>
      </c>
      <c r="F21" s="163">
        <f t="shared" si="5"/>
        <v>245702.85714285716</v>
      </c>
      <c r="G21" s="165">
        <f t="shared" si="6"/>
        <v>34117.868974339988</v>
      </c>
      <c r="H21" s="147">
        <f t="shared" si="7"/>
        <v>34117.868974339988</v>
      </c>
      <c r="I21" s="160">
        <f t="shared" si="0"/>
        <v>0</v>
      </c>
      <c r="J21" s="160"/>
      <c r="K21" s="335"/>
      <c r="L21" s="162">
        <f t="shared" si="1"/>
        <v>0</v>
      </c>
      <c r="M21" s="335"/>
      <c r="N21" s="162">
        <f t="shared" si="2"/>
        <v>0</v>
      </c>
      <c r="O21" s="162">
        <f t="shared" si="3"/>
        <v>0</v>
      </c>
      <c r="P21" s="4"/>
    </row>
    <row r="22" spans="2:16">
      <c r="B22" s="9" t="str">
        <f t="shared" si="8"/>
        <v/>
      </c>
      <c r="C22" s="157">
        <f>IF(D11="","-",+C21+1)</f>
        <v>2023</v>
      </c>
      <c r="D22" s="166">
        <f>IF(F21+SUM(E$17:E21)=D$10,F21,D$10-SUM(E$17:E21))</f>
        <v>245702.85714285716</v>
      </c>
      <c r="E22" s="164">
        <f t="shared" si="4"/>
        <v>7192.3809523809523</v>
      </c>
      <c r="F22" s="163">
        <f t="shared" si="5"/>
        <v>238510.47619047621</v>
      </c>
      <c r="G22" s="165">
        <f t="shared" si="6"/>
        <v>33341.057474126683</v>
      </c>
      <c r="H22" s="147">
        <f t="shared" si="7"/>
        <v>33341.057474126683</v>
      </c>
      <c r="I22" s="160">
        <f t="shared" si="0"/>
        <v>0</v>
      </c>
      <c r="J22" s="160"/>
      <c r="K22" s="335"/>
      <c r="L22" s="162">
        <f t="shared" si="1"/>
        <v>0</v>
      </c>
      <c r="M22" s="335"/>
      <c r="N22" s="162">
        <f t="shared" si="2"/>
        <v>0</v>
      </c>
      <c r="O22" s="162">
        <f t="shared" si="3"/>
        <v>0</v>
      </c>
      <c r="P22" s="4"/>
    </row>
    <row r="23" spans="2:16">
      <c r="B23" s="9" t="str">
        <f t="shared" si="8"/>
        <v/>
      </c>
      <c r="C23" s="157">
        <f>IF(D11="","-",+C22+1)</f>
        <v>2024</v>
      </c>
      <c r="D23" s="166">
        <f>IF(F22+SUM(E$17:E22)=D$10,F22,D$10-SUM(E$17:E22))</f>
        <v>238510.47619047621</v>
      </c>
      <c r="E23" s="164">
        <f t="shared" si="4"/>
        <v>7192.3809523809523</v>
      </c>
      <c r="F23" s="163">
        <f t="shared" si="5"/>
        <v>231318.09523809527</v>
      </c>
      <c r="G23" s="165">
        <f t="shared" si="6"/>
        <v>32564.245973913385</v>
      </c>
      <c r="H23" s="147">
        <f t="shared" si="7"/>
        <v>32564.245973913385</v>
      </c>
      <c r="I23" s="160">
        <f t="shared" si="0"/>
        <v>0</v>
      </c>
      <c r="J23" s="160"/>
      <c r="K23" s="335"/>
      <c r="L23" s="162">
        <f t="shared" si="1"/>
        <v>0</v>
      </c>
      <c r="M23" s="335"/>
      <c r="N23" s="162">
        <f t="shared" si="2"/>
        <v>0</v>
      </c>
      <c r="O23" s="162">
        <f t="shared" si="3"/>
        <v>0</v>
      </c>
      <c r="P23" s="4"/>
    </row>
    <row r="24" spans="2:16">
      <c r="B24" s="9" t="str">
        <f t="shared" si="8"/>
        <v/>
      </c>
      <c r="C24" s="157">
        <f>IF(D11="","-",+C23+1)</f>
        <v>2025</v>
      </c>
      <c r="D24" s="166">
        <f>IF(F23+SUM(E$17:E23)=D$10,F23,D$10-SUM(E$17:E23))</f>
        <v>231318.09523809527</v>
      </c>
      <c r="E24" s="164">
        <f t="shared" si="4"/>
        <v>7192.3809523809523</v>
      </c>
      <c r="F24" s="163">
        <f t="shared" si="5"/>
        <v>224125.71428571432</v>
      </c>
      <c r="G24" s="165">
        <f t="shared" si="6"/>
        <v>31787.434473700087</v>
      </c>
      <c r="H24" s="147">
        <f t="shared" si="7"/>
        <v>31787.434473700087</v>
      </c>
      <c r="I24" s="160">
        <f t="shared" si="0"/>
        <v>0</v>
      </c>
      <c r="J24" s="160"/>
      <c r="K24" s="335"/>
      <c r="L24" s="162">
        <f t="shared" si="1"/>
        <v>0</v>
      </c>
      <c r="M24" s="335"/>
      <c r="N24" s="162">
        <f t="shared" si="2"/>
        <v>0</v>
      </c>
      <c r="O24" s="162">
        <f t="shared" si="3"/>
        <v>0</v>
      </c>
      <c r="P24" s="4"/>
    </row>
    <row r="25" spans="2:16">
      <c r="B25" s="9" t="str">
        <f t="shared" si="8"/>
        <v/>
      </c>
      <c r="C25" s="157">
        <f>IF(D11="","-",+C24+1)</f>
        <v>2026</v>
      </c>
      <c r="D25" s="166">
        <f>IF(F24+SUM(E$17:E24)=D$10,F24,D$10-SUM(E$17:E24))</f>
        <v>224125.71428571432</v>
      </c>
      <c r="E25" s="164">
        <f t="shared" si="4"/>
        <v>7192.3809523809523</v>
      </c>
      <c r="F25" s="163">
        <f t="shared" si="5"/>
        <v>216933.33333333337</v>
      </c>
      <c r="G25" s="165">
        <f t="shared" si="6"/>
        <v>31010.622973486781</v>
      </c>
      <c r="H25" s="147">
        <f t="shared" si="7"/>
        <v>31010.622973486781</v>
      </c>
      <c r="I25" s="160">
        <f t="shared" si="0"/>
        <v>0</v>
      </c>
      <c r="J25" s="160"/>
      <c r="K25" s="335"/>
      <c r="L25" s="162">
        <f t="shared" si="1"/>
        <v>0</v>
      </c>
      <c r="M25" s="335"/>
      <c r="N25" s="162">
        <f t="shared" si="2"/>
        <v>0</v>
      </c>
      <c r="O25" s="162">
        <f t="shared" si="3"/>
        <v>0</v>
      </c>
      <c r="P25" s="4"/>
    </row>
    <row r="26" spans="2:16">
      <c r="B26" s="9" t="str">
        <f t="shared" si="8"/>
        <v/>
      </c>
      <c r="C26" s="157">
        <f>IF(D11="","-",+C25+1)</f>
        <v>2027</v>
      </c>
      <c r="D26" s="166">
        <f>IF(F25+SUM(E$17:E25)=D$10,F25,D$10-SUM(E$17:E25))</f>
        <v>216933.33333333337</v>
      </c>
      <c r="E26" s="164">
        <f t="shared" si="4"/>
        <v>7192.3809523809523</v>
      </c>
      <c r="F26" s="163">
        <f t="shared" si="5"/>
        <v>209740.95238095243</v>
      </c>
      <c r="G26" s="165">
        <f t="shared" si="6"/>
        <v>30233.811473273483</v>
      </c>
      <c r="H26" s="147">
        <f t="shared" si="7"/>
        <v>30233.811473273483</v>
      </c>
      <c r="I26" s="160">
        <f t="shared" si="0"/>
        <v>0</v>
      </c>
      <c r="J26" s="160"/>
      <c r="K26" s="335"/>
      <c r="L26" s="162">
        <f t="shared" si="1"/>
        <v>0</v>
      </c>
      <c r="M26" s="335"/>
      <c r="N26" s="162">
        <f t="shared" si="2"/>
        <v>0</v>
      </c>
      <c r="O26" s="162">
        <f t="shared" si="3"/>
        <v>0</v>
      </c>
      <c r="P26" s="4"/>
    </row>
    <row r="27" spans="2:16">
      <c r="B27" s="9" t="str">
        <f t="shared" si="8"/>
        <v/>
      </c>
      <c r="C27" s="157">
        <f>IF(D11="","-",+C26+1)</f>
        <v>2028</v>
      </c>
      <c r="D27" s="166">
        <f>IF(F26+SUM(E$17:E26)=D$10,F26,D$10-SUM(E$17:E26))</f>
        <v>209740.95238095243</v>
      </c>
      <c r="E27" s="164">
        <f t="shared" si="4"/>
        <v>7192.3809523809523</v>
      </c>
      <c r="F27" s="163">
        <f t="shared" si="5"/>
        <v>202548.57142857148</v>
      </c>
      <c r="G27" s="165">
        <f t="shared" si="6"/>
        <v>29456.999973060185</v>
      </c>
      <c r="H27" s="147">
        <f t="shared" si="7"/>
        <v>29456.999973060185</v>
      </c>
      <c r="I27" s="160">
        <f t="shared" si="0"/>
        <v>0</v>
      </c>
      <c r="J27" s="160"/>
      <c r="K27" s="335"/>
      <c r="L27" s="162">
        <f t="shared" si="1"/>
        <v>0</v>
      </c>
      <c r="M27" s="335"/>
      <c r="N27" s="162">
        <f t="shared" si="2"/>
        <v>0</v>
      </c>
      <c r="O27" s="162">
        <f t="shared" si="3"/>
        <v>0</v>
      </c>
      <c r="P27" s="4"/>
    </row>
    <row r="28" spans="2:16">
      <c r="B28" s="9" t="str">
        <f t="shared" si="8"/>
        <v/>
      </c>
      <c r="C28" s="157">
        <f>IF(D11="","-",+C27+1)</f>
        <v>2029</v>
      </c>
      <c r="D28" s="166">
        <f>IF(F27+SUM(E$17:E27)=D$10,F27,D$10-SUM(E$17:E27))</f>
        <v>202548.57142857148</v>
      </c>
      <c r="E28" s="164">
        <f t="shared" si="4"/>
        <v>7192.3809523809523</v>
      </c>
      <c r="F28" s="163">
        <f t="shared" si="5"/>
        <v>195356.19047619053</v>
      </c>
      <c r="G28" s="165">
        <f t="shared" si="6"/>
        <v>28680.188472846879</v>
      </c>
      <c r="H28" s="147">
        <f t="shared" si="7"/>
        <v>28680.188472846879</v>
      </c>
      <c r="I28" s="160">
        <f t="shared" si="0"/>
        <v>0</v>
      </c>
      <c r="J28" s="160"/>
      <c r="K28" s="335"/>
      <c r="L28" s="162">
        <f t="shared" si="1"/>
        <v>0</v>
      </c>
      <c r="M28" s="335"/>
      <c r="N28" s="162">
        <f t="shared" si="2"/>
        <v>0</v>
      </c>
      <c r="O28" s="162">
        <f t="shared" si="3"/>
        <v>0</v>
      </c>
      <c r="P28" s="4"/>
    </row>
    <row r="29" spans="2:16">
      <c r="B29" s="9" t="str">
        <f t="shared" si="8"/>
        <v/>
      </c>
      <c r="C29" s="157">
        <f>IF(D11="","-",+C28+1)</f>
        <v>2030</v>
      </c>
      <c r="D29" s="166">
        <f>IF(F28+SUM(E$17:E28)=D$10,F28,D$10-SUM(E$17:E28))</f>
        <v>195356.19047619053</v>
      </c>
      <c r="E29" s="164">
        <f t="shared" si="4"/>
        <v>7192.3809523809523</v>
      </c>
      <c r="F29" s="163">
        <f t="shared" si="5"/>
        <v>188163.80952380958</v>
      </c>
      <c r="G29" s="165">
        <f t="shared" si="6"/>
        <v>27903.376972633581</v>
      </c>
      <c r="H29" s="147">
        <f t="shared" si="7"/>
        <v>27903.376972633581</v>
      </c>
      <c r="I29" s="160">
        <f t="shared" si="0"/>
        <v>0</v>
      </c>
      <c r="J29" s="160"/>
      <c r="K29" s="335"/>
      <c r="L29" s="162">
        <f t="shared" si="1"/>
        <v>0</v>
      </c>
      <c r="M29" s="335"/>
      <c r="N29" s="162">
        <f t="shared" si="2"/>
        <v>0</v>
      </c>
      <c r="O29" s="162">
        <f t="shared" si="3"/>
        <v>0</v>
      </c>
      <c r="P29" s="4"/>
    </row>
    <row r="30" spans="2:16">
      <c r="B30" s="9" t="str">
        <f t="shared" si="8"/>
        <v/>
      </c>
      <c r="C30" s="157">
        <f>IF(D11="","-",+C29+1)</f>
        <v>2031</v>
      </c>
      <c r="D30" s="166">
        <f>IF(F29+SUM(E$17:E29)=D$10,F29,D$10-SUM(E$17:E29))</f>
        <v>188163.80952380958</v>
      </c>
      <c r="E30" s="164">
        <f t="shared" si="4"/>
        <v>7192.3809523809523</v>
      </c>
      <c r="F30" s="163">
        <f t="shared" si="5"/>
        <v>180971.42857142864</v>
      </c>
      <c r="G30" s="165">
        <f t="shared" si="6"/>
        <v>27126.565472420276</v>
      </c>
      <c r="H30" s="147">
        <f t="shared" si="7"/>
        <v>27126.565472420276</v>
      </c>
      <c r="I30" s="160">
        <f t="shared" si="0"/>
        <v>0</v>
      </c>
      <c r="J30" s="160"/>
      <c r="K30" s="335"/>
      <c r="L30" s="162">
        <f t="shared" si="1"/>
        <v>0</v>
      </c>
      <c r="M30" s="335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8"/>
        <v/>
      </c>
      <c r="C31" s="157">
        <f>IF(D11="","-",+C30+1)</f>
        <v>2032</v>
      </c>
      <c r="D31" s="166">
        <f>IF(F30+SUM(E$17:E30)=D$10,F30,D$10-SUM(E$17:E30))</f>
        <v>180971.42857142864</v>
      </c>
      <c r="E31" s="164">
        <f t="shared" si="4"/>
        <v>7192.3809523809523</v>
      </c>
      <c r="F31" s="163">
        <f t="shared" si="5"/>
        <v>173779.04761904769</v>
      </c>
      <c r="G31" s="165">
        <f t="shared" si="6"/>
        <v>26349.753972206978</v>
      </c>
      <c r="H31" s="147">
        <f t="shared" si="7"/>
        <v>26349.753972206978</v>
      </c>
      <c r="I31" s="160">
        <f t="shared" si="0"/>
        <v>0</v>
      </c>
      <c r="J31" s="160"/>
      <c r="K31" s="335"/>
      <c r="L31" s="162">
        <f t="shared" si="1"/>
        <v>0</v>
      </c>
      <c r="M31" s="335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8"/>
        <v/>
      </c>
      <c r="C32" s="157">
        <f>IF(D11="","-",+C31+1)</f>
        <v>2033</v>
      </c>
      <c r="D32" s="166">
        <f>IF(F31+SUM(E$17:E31)=D$10,F31,D$10-SUM(E$17:E31))</f>
        <v>173779.04761904769</v>
      </c>
      <c r="E32" s="164">
        <f t="shared" si="4"/>
        <v>7192.3809523809523</v>
      </c>
      <c r="F32" s="163">
        <f t="shared" si="5"/>
        <v>166586.66666666674</v>
      </c>
      <c r="G32" s="165">
        <f t="shared" si="6"/>
        <v>25572.94247199368</v>
      </c>
      <c r="H32" s="147">
        <f t="shared" si="7"/>
        <v>25572.94247199368</v>
      </c>
      <c r="I32" s="160">
        <f t="shared" si="0"/>
        <v>0</v>
      </c>
      <c r="J32" s="160"/>
      <c r="K32" s="335"/>
      <c r="L32" s="162">
        <f t="shared" si="1"/>
        <v>0</v>
      </c>
      <c r="M32" s="335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8"/>
        <v/>
      </c>
      <c r="C33" s="157">
        <f>IF(D11="","-",+C32+1)</f>
        <v>2034</v>
      </c>
      <c r="D33" s="166">
        <f>IF(F32+SUM(E$17:E32)=D$10,F32,D$10-SUM(E$17:E32))</f>
        <v>166586.66666666674</v>
      </c>
      <c r="E33" s="164">
        <f t="shared" si="4"/>
        <v>7192.3809523809523</v>
      </c>
      <c r="F33" s="163">
        <f t="shared" si="5"/>
        <v>159394.2857142858</v>
      </c>
      <c r="G33" s="165">
        <f t="shared" si="6"/>
        <v>24796.130971780374</v>
      </c>
      <c r="H33" s="147">
        <f t="shared" si="7"/>
        <v>24796.130971780374</v>
      </c>
      <c r="I33" s="160">
        <f t="shared" si="0"/>
        <v>0</v>
      </c>
      <c r="J33" s="160"/>
      <c r="K33" s="335"/>
      <c r="L33" s="162">
        <f t="shared" si="1"/>
        <v>0</v>
      </c>
      <c r="M33" s="335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8"/>
        <v/>
      </c>
      <c r="C34" s="157">
        <f>IF(D11="","-",+C33+1)</f>
        <v>2035</v>
      </c>
      <c r="D34" s="166">
        <f>IF(F33+SUM(E$17:E33)=D$10,F33,D$10-SUM(E$17:E33))</f>
        <v>159394.2857142858</v>
      </c>
      <c r="E34" s="164">
        <f t="shared" si="4"/>
        <v>7192.3809523809523</v>
      </c>
      <c r="F34" s="163">
        <f t="shared" si="5"/>
        <v>152201.90476190485</v>
      </c>
      <c r="G34" s="165">
        <f t="shared" si="6"/>
        <v>24019.319471567076</v>
      </c>
      <c r="H34" s="147">
        <f t="shared" si="7"/>
        <v>24019.319471567076</v>
      </c>
      <c r="I34" s="160">
        <f t="shared" si="0"/>
        <v>0</v>
      </c>
      <c r="J34" s="160"/>
      <c r="K34" s="335"/>
      <c r="L34" s="162">
        <f t="shared" si="1"/>
        <v>0</v>
      </c>
      <c r="M34" s="335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8"/>
        <v/>
      </c>
      <c r="C35" s="157">
        <f>IF(D11="","-",+C34+1)</f>
        <v>2036</v>
      </c>
      <c r="D35" s="166">
        <f>IF(F34+SUM(E$17:E34)=D$10,F34,D$10-SUM(E$17:E34))</f>
        <v>152201.90476190485</v>
      </c>
      <c r="E35" s="164">
        <f t="shared" si="4"/>
        <v>7192.3809523809523</v>
      </c>
      <c r="F35" s="163">
        <f t="shared" si="5"/>
        <v>145009.5238095239</v>
      </c>
      <c r="G35" s="165">
        <f t="shared" si="6"/>
        <v>23242.507971353778</v>
      </c>
      <c r="H35" s="147">
        <f t="shared" si="7"/>
        <v>23242.507971353778</v>
      </c>
      <c r="I35" s="160">
        <f t="shared" si="0"/>
        <v>0</v>
      </c>
      <c r="J35" s="160"/>
      <c r="K35" s="335"/>
      <c r="L35" s="162">
        <f t="shared" si="1"/>
        <v>0</v>
      </c>
      <c r="M35" s="335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8"/>
        <v/>
      </c>
      <c r="C36" s="157">
        <f>IF(D11="","-",+C35+1)</f>
        <v>2037</v>
      </c>
      <c r="D36" s="166">
        <f>IF(F35+SUM(E$17:E35)=D$10,F35,D$10-SUM(E$17:E35))</f>
        <v>145009.5238095239</v>
      </c>
      <c r="E36" s="164">
        <f t="shared" si="4"/>
        <v>7192.3809523809523</v>
      </c>
      <c r="F36" s="163">
        <f t="shared" si="5"/>
        <v>137817.14285714296</v>
      </c>
      <c r="G36" s="165">
        <f t="shared" si="6"/>
        <v>22465.696471140473</v>
      </c>
      <c r="H36" s="147">
        <f t="shared" si="7"/>
        <v>22465.696471140473</v>
      </c>
      <c r="I36" s="160">
        <f t="shared" si="0"/>
        <v>0</v>
      </c>
      <c r="J36" s="160"/>
      <c r="K36" s="335"/>
      <c r="L36" s="162">
        <f t="shared" si="1"/>
        <v>0</v>
      </c>
      <c r="M36" s="335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8"/>
        <v/>
      </c>
      <c r="C37" s="157">
        <f>IF(D11="","-",+C36+1)</f>
        <v>2038</v>
      </c>
      <c r="D37" s="166">
        <f>IF(F36+SUM(E$17:E36)=D$10,F36,D$10-SUM(E$17:E36))</f>
        <v>137817.14285714296</v>
      </c>
      <c r="E37" s="164">
        <f t="shared" si="4"/>
        <v>7192.3809523809523</v>
      </c>
      <c r="F37" s="163">
        <f t="shared" si="5"/>
        <v>130624.76190476201</v>
      </c>
      <c r="G37" s="165">
        <f t="shared" si="6"/>
        <v>21688.884970927174</v>
      </c>
      <c r="H37" s="147">
        <f t="shared" si="7"/>
        <v>21688.884970927174</v>
      </c>
      <c r="I37" s="160">
        <f t="shared" si="0"/>
        <v>0</v>
      </c>
      <c r="J37" s="160"/>
      <c r="K37" s="335"/>
      <c r="L37" s="162">
        <f t="shared" si="1"/>
        <v>0</v>
      </c>
      <c r="M37" s="335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8"/>
        <v/>
      </c>
      <c r="C38" s="157">
        <f>IF(D11="","-",+C37+1)</f>
        <v>2039</v>
      </c>
      <c r="D38" s="166">
        <f>IF(F37+SUM(E$17:E37)=D$10,F37,D$10-SUM(E$17:E37))</f>
        <v>130624.76190476201</v>
      </c>
      <c r="E38" s="164">
        <f t="shared" si="4"/>
        <v>7192.3809523809523</v>
      </c>
      <c r="F38" s="163">
        <f t="shared" si="5"/>
        <v>123432.38095238106</v>
      </c>
      <c r="G38" s="165">
        <f t="shared" si="6"/>
        <v>20912.073470713873</v>
      </c>
      <c r="H38" s="147">
        <f t="shared" si="7"/>
        <v>20912.073470713873</v>
      </c>
      <c r="I38" s="160">
        <f t="shared" si="0"/>
        <v>0</v>
      </c>
      <c r="J38" s="160"/>
      <c r="K38" s="335"/>
      <c r="L38" s="162">
        <f t="shared" si="1"/>
        <v>0</v>
      </c>
      <c r="M38" s="335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8"/>
        <v/>
      </c>
      <c r="C39" s="157">
        <f>IF(D11="","-",+C38+1)</f>
        <v>2040</v>
      </c>
      <c r="D39" s="166">
        <f>IF(F38+SUM(E$17:E38)=D$10,F38,D$10-SUM(E$17:E38))</f>
        <v>123432.38095238106</v>
      </c>
      <c r="E39" s="164">
        <f t="shared" si="4"/>
        <v>7192.3809523809523</v>
      </c>
      <c r="F39" s="163">
        <f t="shared" si="5"/>
        <v>116240.00000000012</v>
      </c>
      <c r="G39" s="165">
        <f t="shared" si="6"/>
        <v>20135.261970500571</v>
      </c>
      <c r="H39" s="147">
        <f t="shared" si="7"/>
        <v>20135.261970500571</v>
      </c>
      <c r="I39" s="160">
        <f t="shared" si="0"/>
        <v>0</v>
      </c>
      <c r="J39" s="160"/>
      <c r="K39" s="335"/>
      <c r="L39" s="162">
        <f t="shared" si="1"/>
        <v>0</v>
      </c>
      <c r="M39" s="335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8"/>
        <v/>
      </c>
      <c r="C40" s="157">
        <f>IF(D11="","-",+C39+1)</f>
        <v>2041</v>
      </c>
      <c r="D40" s="166">
        <f>IF(F39+SUM(E$17:E39)=D$10,F39,D$10-SUM(E$17:E39))</f>
        <v>116240.00000000012</v>
      </c>
      <c r="E40" s="164">
        <f t="shared" si="4"/>
        <v>7192.3809523809523</v>
      </c>
      <c r="F40" s="163">
        <f t="shared" si="5"/>
        <v>109047.61904761917</v>
      </c>
      <c r="G40" s="165">
        <f t="shared" si="6"/>
        <v>19358.450470287273</v>
      </c>
      <c r="H40" s="147">
        <f t="shared" si="7"/>
        <v>19358.450470287273</v>
      </c>
      <c r="I40" s="160">
        <f t="shared" si="0"/>
        <v>0</v>
      </c>
      <c r="J40" s="160"/>
      <c r="K40" s="335"/>
      <c r="L40" s="162">
        <f t="shared" si="1"/>
        <v>0</v>
      </c>
      <c r="M40" s="335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8"/>
        <v/>
      </c>
      <c r="C41" s="157">
        <f>IF(D11="","-",+C40+1)</f>
        <v>2042</v>
      </c>
      <c r="D41" s="166">
        <f>IF(F40+SUM(E$17:E40)=D$10,F40,D$10-SUM(E$17:E40))</f>
        <v>109047.61904761917</v>
      </c>
      <c r="E41" s="164">
        <f t="shared" si="4"/>
        <v>7192.3809523809523</v>
      </c>
      <c r="F41" s="163">
        <f t="shared" si="5"/>
        <v>101855.23809523822</v>
      </c>
      <c r="G41" s="165">
        <f t="shared" si="6"/>
        <v>18581.638970073971</v>
      </c>
      <c r="H41" s="147">
        <f t="shared" si="7"/>
        <v>18581.638970073971</v>
      </c>
      <c r="I41" s="160">
        <f t="shared" si="0"/>
        <v>0</v>
      </c>
      <c r="J41" s="160"/>
      <c r="K41" s="335"/>
      <c r="L41" s="162">
        <f t="shared" si="1"/>
        <v>0</v>
      </c>
      <c r="M41" s="335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8"/>
        <v/>
      </c>
      <c r="C42" s="157">
        <f>IF(D11="","-",+C41+1)</f>
        <v>2043</v>
      </c>
      <c r="D42" s="166">
        <f>IF(F41+SUM(E$17:E41)=D$10,F41,D$10-SUM(E$17:E41))</f>
        <v>101855.23809523822</v>
      </c>
      <c r="E42" s="164">
        <f t="shared" si="4"/>
        <v>7192.3809523809523</v>
      </c>
      <c r="F42" s="163">
        <f t="shared" si="5"/>
        <v>94662.857142857276</v>
      </c>
      <c r="G42" s="165">
        <f t="shared" si="6"/>
        <v>17804.827469860669</v>
      </c>
      <c r="H42" s="147">
        <f t="shared" si="7"/>
        <v>17804.827469860669</v>
      </c>
      <c r="I42" s="160">
        <f t="shared" si="0"/>
        <v>0</v>
      </c>
      <c r="J42" s="160"/>
      <c r="K42" s="335"/>
      <c r="L42" s="162">
        <f t="shared" si="1"/>
        <v>0</v>
      </c>
      <c r="M42" s="335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8"/>
        <v/>
      </c>
      <c r="C43" s="157">
        <f>IF(D11="","-",+C42+1)</f>
        <v>2044</v>
      </c>
      <c r="D43" s="166">
        <f>IF(F42+SUM(E$17:E42)=D$10,F42,D$10-SUM(E$17:E42))</f>
        <v>94662.857142857276</v>
      </c>
      <c r="E43" s="164">
        <f t="shared" si="4"/>
        <v>7192.3809523809523</v>
      </c>
      <c r="F43" s="163">
        <f t="shared" si="5"/>
        <v>87470.476190476329</v>
      </c>
      <c r="G43" s="165">
        <f t="shared" si="6"/>
        <v>17028.015969647371</v>
      </c>
      <c r="H43" s="147">
        <f t="shared" si="7"/>
        <v>17028.015969647371</v>
      </c>
      <c r="I43" s="160">
        <f t="shared" si="0"/>
        <v>0</v>
      </c>
      <c r="J43" s="160"/>
      <c r="K43" s="335"/>
      <c r="L43" s="162">
        <f t="shared" si="1"/>
        <v>0</v>
      </c>
      <c r="M43" s="335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8"/>
        <v/>
      </c>
      <c r="C44" s="157">
        <f>IF(D11="","-",+C43+1)</f>
        <v>2045</v>
      </c>
      <c r="D44" s="166">
        <f>IF(F43+SUM(E$17:E43)=D$10,F43,D$10-SUM(E$17:E43))</f>
        <v>87470.476190476329</v>
      </c>
      <c r="E44" s="164">
        <f t="shared" si="4"/>
        <v>7192.3809523809523</v>
      </c>
      <c r="F44" s="163">
        <f t="shared" si="5"/>
        <v>80278.095238095382</v>
      </c>
      <c r="G44" s="165">
        <f t="shared" si="6"/>
        <v>16251.204469434069</v>
      </c>
      <c r="H44" s="147">
        <f t="shared" si="7"/>
        <v>16251.204469434069</v>
      </c>
      <c r="I44" s="160">
        <f t="shared" si="0"/>
        <v>0</v>
      </c>
      <c r="J44" s="160"/>
      <c r="K44" s="335"/>
      <c r="L44" s="162">
        <f t="shared" si="1"/>
        <v>0</v>
      </c>
      <c r="M44" s="335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8"/>
        <v/>
      </c>
      <c r="C45" s="157">
        <f>IF(D11="","-",+C44+1)</f>
        <v>2046</v>
      </c>
      <c r="D45" s="166">
        <f>IF(F44+SUM(E$17:E44)=D$10,F44,D$10-SUM(E$17:E44))</f>
        <v>80278.095238095382</v>
      </c>
      <c r="E45" s="164">
        <f t="shared" si="4"/>
        <v>7192.3809523809523</v>
      </c>
      <c r="F45" s="163">
        <f t="shared" si="5"/>
        <v>73085.714285714435</v>
      </c>
      <c r="G45" s="165">
        <f t="shared" si="6"/>
        <v>15474.392969220768</v>
      </c>
      <c r="H45" s="147">
        <f t="shared" si="7"/>
        <v>15474.392969220768</v>
      </c>
      <c r="I45" s="160">
        <f t="shared" si="0"/>
        <v>0</v>
      </c>
      <c r="J45" s="160"/>
      <c r="K45" s="335"/>
      <c r="L45" s="162">
        <f t="shared" si="1"/>
        <v>0</v>
      </c>
      <c r="M45" s="335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8"/>
        <v/>
      </c>
      <c r="C46" s="157">
        <f>IF(D11="","-",+C45+1)</f>
        <v>2047</v>
      </c>
      <c r="D46" s="166">
        <f>IF(F45+SUM(E$17:E45)=D$10,F45,D$10-SUM(E$17:E45))</f>
        <v>73085.714285714435</v>
      </c>
      <c r="E46" s="164">
        <f t="shared" si="4"/>
        <v>7192.3809523809523</v>
      </c>
      <c r="F46" s="163">
        <f t="shared" si="5"/>
        <v>65893.333333333489</v>
      </c>
      <c r="G46" s="165">
        <f t="shared" si="6"/>
        <v>14697.581469007468</v>
      </c>
      <c r="H46" s="147">
        <f t="shared" si="7"/>
        <v>14697.581469007468</v>
      </c>
      <c r="I46" s="160">
        <f t="shared" si="0"/>
        <v>0</v>
      </c>
      <c r="J46" s="160"/>
      <c r="K46" s="335"/>
      <c r="L46" s="162">
        <f t="shared" si="1"/>
        <v>0</v>
      </c>
      <c r="M46" s="335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8"/>
        <v/>
      </c>
      <c r="C47" s="157">
        <f>IF(D11="","-",+C46+1)</f>
        <v>2048</v>
      </c>
      <c r="D47" s="166">
        <f>IF(F46+SUM(E$17:E46)=D$10,F46,D$10-SUM(E$17:E46))</f>
        <v>65893.333333333489</v>
      </c>
      <c r="E47" s="164">
        <f t="shared" si="4"/>
        <v>7192.3809523809523</v>
      </c>
      <c r="F47" s="163">
        <f t="shared" si="5"/>
        <v>58700.952380952534</v>
      </c>
      <c r="G47" s="165">
        <f t="shared" si="6"/>
        <v>13920.769968794168</v>
      </c>
      <c r="H47" s="147">
        <f t="shared" si="7"/>
        <v>13920.769968794168</v>
      </c>
      <c r="I47" s="160">
        <f t="shared" si="0"/>
        <v>0</v>
      </c>
      <c r="J47" s="160"/>
      <c r="K47" s="335"/>
      <c r="L47" s="162">
        <f t="shared" si="1"/>
        <v>0</v>
      </c>
      <c r="M47" s="335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8"/>
        <v/>
      </c>
      <c r="C48" s="157">
        <f>IF(D11="","-",+C47+1)</f>
        <v>2049</v>
      </c>
      <c r="D48" s="166">
        <f>IF(F47+SUM(E$17:E47)=D$10,F47,D$10-SUM(E$17:E47))</f>
        <v>58700.952380952534</v>
      </c>
      <c r="E48" s="164">
        <f t="shared" si="4"/>
        <v>7192.3809523809523</v>
      </c>
      <c r="F48" s="163">
        <f t="shared" si="5"/>
        <v>51508.57142857158</v>
      </c>
      <c r="G48" s="165">
        <f t="shared" si="6"/>
        <v>13143.958468580864</v>
      </c>
      <c r="H48" s="147">
        <f t="shared" si="7"/>
        <v>13143.958468580864</v>
      </c>
      <c r="I48" s="160">
        <f t="shared" si="0"/>
        <v>0</v>
      </c>
      <c r="J48" s="160"/>
      <c r="K48" s="335"/>
      <c r="L48" s="162">
        <f t="shared" si="1"/>
        <v>0</v>
      </c>
      <c r="M48" s="335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8"/>
        <v/>
      </c>
      <c r="C49" s="157">
        <f>IF(D11="","-",+C48+1)</f>
        <v>2050</v>
      </c>
      <c r="D49" s="166">
        <f>IF(F48+SUM(E$17:E48)=D$10,F48,D$10-SUM(E$17:E48))</f>
        <v>51508.57142857158</v>
      </c>
      <c r="E49" s="164">
        <f t="shared" si="4"/>
        <v>7192.3809523809523</v>
      </c>
      <c r="F49" s="163">
        <f t="shared" si="5"/>
        <v>44316.190476190626</v>
      </c>
      <c r="G49" s="165">
        <f t="shared" si="6"/>
        <v>12367.146968367564</v>
      </c>
      <c r="H49" s="147">
        <f t="shared" si="7"/>
        <v>12367.146968367564</v>
      </c>
      <c r="I49" s="160">
        <f t="shared" si="0"/>
        <v>0</v>
      </c>
      <c r="J49" s="160"/>
      <c r="K49" s="335"/>
      <c r="L49" s="162">
        <f t="shared" si="1"/>
        <v>0</v>
      </c>
      <c r="M49" s="335"/>
      <c r="N49" s="162">
        <f t="shared" si="2"/>
        <v>0</v>
      </c>
      <c r="O49" s="162">
        <f t="shared" si="3"/>
        <v>0</v>
      </c>
      <c r="P49" s="4"/>
    </row>
    <row r="50" spans="2:16">
      <c r="B50" s="9" t="str">
        <f t="shared" si="8"/>
        <v/>
      </c>
      <c r="C50" s="157">
        <f>IF(D11="","-",+C49+1)</f>
        <v>2051</v>
      </c>
      <c r="D50" s="166">
        <f>IF(F49+SUM(E$17:E49)=D$10,F49,D$10-SUM(E$17:E49))</f>
        <v>44316.190476190626</v>
      </c>
      <c r="E50" s="164">
        <f t="shared" si="4"/>
        <v>7192.3809523809523</v>
      </c>
      <c r="F50" s="163">
        <f t="shared" si="5"/>
        <v>37123.809523809672</v>
      </c>
      <c r="G50" s="165">
        <f t="shared" si="6"/>
        <v>11590.335468154262</v>
      </c>
      <c r="H50" s="147">
        <f t="shared" si="7"/>
        <v>11590.335468154262</v>
      </c>
      <c r="I50" s="160">
        <f t="shared" si="0"/>
        <v>0</v>
      </c>
      <c r="J50" s="160"/>
      <c r="K50" s="335"/>
      <c r="L50" s="162">
        <f t="shared" si="1"/>
        <v>0</v>
      </c>
      <c r="M50" s="335"/>
      <c r="N50" s="162">
        <f t="shared" si="2"/>
        <v>0</v>
      </c>
      <c r="O50" s="162">
        <f t="shared" si="3"/>
        <v>0</v>
      </c>
      <c r="P50" s="4"/>
    </row>
    <row r="51" spans="2:16">
      <c r="B51" s="9" t="str">
        <f t="shared" si="8"/>
        <v/>
      </c>
      <c r="C51" s="157">
        <f>IF(D11="","-",+C50+1)</f>
        <v>2052</v>
      </c>
      <c r="D51" s="166">
        <f>IF(F50+SUM(E$17:E50)=D$10,F50,D$10-SUM(E$17:E50))</f>
        <v>37123.809523809672</v>
      </c>
      <c r="E51" s="164">
        <f t="shared" si="4"/>
        <v>7192.3809523809523</v>
      </c>
      <c r="F51" s="163">
        <f t="shared" si="5"/>
        <v>29931.428571428718</v>
      </c>
      <c r="G51" s="165">
        <f t="shared" si="6"/>
        <v>10813.523967940961</v>
      </c>
      <c r="H51" s="147">
        <f t="shared" si="7"/>
        <v>10813.523967940961</v>
      </c>
      <c r="I51" s="160">
        <f t="shared" si="0"/>
        <v>0</v>
      </c>
      <c r="J51" s="160"/>
      <c r="K51" s="335"/>
      <c r="L51" s="162">
        <f t="shared" si="1"/>
        <v>0</v>
      </c>
      <c r="M51" s="335"/>
      <c r="N51" s="162">
        <f t="shared" si="2"/>
        <v>0</v>
      </c>
      <c r="O51" s="162">
        <f t="shared" si="3"/>
        <v>0</v>
      </c>
      <c r="P51" s="4"/>
    </row>
    <row r="52" spans="2:16">
      <c r="B52" s="9" t="str">
        <f t="shared" si="8"/>
        <v/>
      </c>
      <c r="C52" s="157">
        <f>IF(D11="","-",+C51+1)</f>
        <v>2053</v>
      </c>
      <c r="D52" s="166">
        <f>IF(F51+SUM(E$17:E51)=D$10,F51,D$10-SUM(E$17:E51))</f>
        <v>29931.428571428718</v>
      </c>
      <c r="E52" s="164">
        <f t="shared" si="4"/>
        <v>7192.3809523809523</v>
      </c>
      <c r="F52" s="163">
        <f t="shared" si="5"/>
        <v>22739.047619047764</v>
      </c>
      <c r="G52" s="165">
        <f t="shared" si="6"/>
        <v>10036.712467727659</v>
      </c>
      <c r="H52" s="147">
        <f t="shared" si="7"/>
        <v>10036.712467727659</v>
      </c>
      <c r="I52" s="160">
        <f t="shared" si="0"/>
        <v>0</v>
      </c>
      <c r="J52" s="160"/>
      <c r="K52" s="335"/>
      <c r="L52" s="162">
        <f t="shared" si="1"/>
        <v>0</v>
      </c>
      <c r="M52" s="335"/>
      <c r="N52" s="162">
        <f t="shared" si="2"/>
        <v>0</v>
      </c>
      <c r="O52" s="162">
        <f t="shared" si="3"/>
        <v>0</v>
      </c>
      <c r="P52" s="4"/>
    </row>
    <row r="53" spans="2:16">
      <c r="B53" s="9" t="str">
        <f t="shared" si="8"/>
        <v/>
      </c>
      <c r="C53" s="157">
        <f>IF(D11="","-",+C52+1)</f>
        <v>2054</v>
      </c>
      <c r="D53" s="166">
        <f>IF(F52+SUM(E$17:E52)=D$10,F52,D$10-SUM(E$17:E52))</f>
        <v>22739.047619047764</v>
      </c>
      <c r="E53" s="164">
        <f t="shared" si="4"/>
        <v>7192.3809523809523</v>
      </c>
      <c r="F53" s="163">
        <f t="shared" si="5"/>
        <v>15546.666666666812</v>
      </c>
      <c r="G53" s="165">
        <f t="shared" si="6"/>
        <v>9259.900967514357</v>
      </c>
      <c r="H53" s="147">
        <f t="shared" si="7"/>
        <v>9259.900967514357</v>
      </c>
      <c r="I53" s="160">
        <f t="shared" si="0"/>
        <v>0</v>
      </c>
      <c r="J53" s="160"/>
      <c r="K53" s="335"/>
      <c r="L53" s="162">
        <f t="shared" si="1"/>
        <v>0</v>
      </c>
      <c r="M53" s="335"/>
      <c r="N53" s="162">
        <f t="shared" si="2"/>
        <v>0</v>
      </c>
      <c r="O53" s="162">
        <f t="shared" si="3"/>
        <v>0</v>
      </c>
      <c r="P53" s="4"/>
    </row>
    <row r="54" spans="2:16">
      <c r="B54" s="9" t="str">
        <f t="shared" si="8"/>
        <v/>
      </c>
      <c r="C54" s="157">
        <f>IF(D11="","-",+C53+1)</f>
        <v>2055</v>
      </c>
      <c r="D54" s="166">
        <f>IF(F53+SUM(E$17:E53)=D$10,F53,D$10-SUM(E$17:E53))</f>
        <v>15546.666666666812</v>
      </c>
      <c r="E54" s="164">
        <f t="shared" si="4"/>
        <v>7192.3809523809523</v>
      </c>
      <c r="F54" s="163">
        <f t="shared" si="5"/>
        <v>8354.2857142858593</v>
      </c>
      <c r="G54" s="165">
        <f t="shared" si="6"/>
        <v>8483.0894673010553</v>
      </c>
      <c r="H54" s="147">
        <f t="shared" si="7"/>
        <v>8483.0894673010553</v>
      </c>
      <c r="I54" s="160">
        <f t="shared" si="0"/>
        <v>0</v>
      </c>
      <c r="J54" s="160"/>
      <c r="K54" s="335"/>
      <c r="L54" s="162">
        <f t="shared" si="1"/>
        <v>0</v>
      </c>
      <c r="M54" s="335"/>
      <c r="N54" s="162">
        <f t="shared" si="2"/>
        <v>0</v>
      </c>
      <c r="O54" s="162">
        <f t="shared" si="3"/>
        <v>0</v>
      </c>
      <c r="P54" s="4"/>
    </row>
    <row r="55" spans="2:16">
      <c r="B55" s="9" t="str">
        <f t="shared" si="8"/>
        <v/>
      </c>
      <c r="C55" s="157">
        <f>IF(D11="","-",+C54+1)</f>
        <v>2056</v>
      </c>
      <c r="D55" s="166">
        <f>IF(F54+SUM(E$17:E54)=D$10,F54,D$10-SUM(E$17:E54))</f>
        <v>8354.2857142858593</v>
      </c>
      <c r="E55" s="164">
        <f t="shared" si="4"/>
        <v>7192.3809523809523</v>
      </c>
      <c r="F55" s="163">
        <f t="shared" si="5"/>
        <v>1161.904761904907</v>
      </c>
      <c r="G55" s="165">
        <f t="shared" si="6"/>
        <v>7706.2779670877544</v>
      </c>
      <c r="H55" s="147">
        <f t="shared" si="7"/>
        <v>7706.2779670877544</v>
      </c>
      <c r="I55" s="160">
        <f t="shared" si="0"/>
        <v>0</v>
      </c>
      <c r="J55" s="160"/>
      <c r="K55" s="335"/>
      <c r="L55" s="162">
        <f t="shared" si="1"/>
        <v>0</v>
      </c>
      <c r="M55" s="335"/>
      <c r="N55" s="162">
        <f t="shared" si="2"/>
        <v>0</v>
      </c>
      <c r="O55" s="162">
        <f t="shared" si="3"/>
        <v>0</v>
      </c>
      <c r="P55" s="4"/>
    </row>
    <row r="56" spans="2:16">
      <c r="B56" s="9" t="str">
        <f t="shared" si="8"/>
        <v/>
      </c>
      <c r="C56" s="157">
        <f>IF(D11="","-",+C55+1)</f>
        <v>2057</v>
      </c>
      <c r="D56" s="166">
        <f>IF(F55+SUM(E$17:E55)=D$10,F55,D$10-SUM(E$17:E55))</f>
        <v>1161.904761904907</v>
      </c>
      <c r="E56" s="164">
        <f t="shared" si="4"/>
        <v>1161.904761904907</v>
      </c>
      <c r="F56" s="163">
        <f t="shared" si="5"/>
        <v>0</v>
      </c>
      <c r="G56" s="165">
        <f t="shared" si="6"/>
        <v>1224.6503942049828</v>
      </c>
      <c r="H56" s="147">
        <f t="shared" si="7"/>
        <v>1224.6503942049828</v>
      </c>
      <c r="I56" s="160">
        <f t="shared" si="0"/>
        <v>0</v>
      </c>
      <c r="J56" s="160"/>
      <c r="K56" s="335"/>
      <c r="L56" s="162">
        <f t="shared" si="1"/>
        <v>0</v>
      </c>
      <c r="M56" s="335"/>
      <c r="N56" s="162">
        <f t="shared" si="2"/>
        <v>0</v>
      </c>
      <c r="O56" s="162">
        <f t="shared" si="3"/>
        <v>0</v>
      </c>
      <c r="P56" s="4"/>
    </row>
    <row r="57" spans="2:16">
      <c r="B57" s="9" t="str">
        <f t="shared" si="8"/>
        <v/>
      </c>
      <c r="C57" s="157">
        <f>IF(D11="","-",+C56+1)</f>
        <v>2058</v>
      </c>
      <c r="D57" s="166">
        <f>IF(F56+SUM(E$17:E56)=D$10,F56,D$10-SUM(E$17:E56))</f>
        <v>0</v>
      </c>
      <c r="E57" s="164">
        <f t="shared" si="4"/>
        <v>0</v>
      </c>
      <c r="F57" s="163">
        <f t="shared" si="5"/>
        <v>0</v>
      </c>
      <c r="G57" s="165">
        <f t="shared" si="6"/>
        <v>0</v>
      </c>
      <c r="H57" s="147">
        <f t="shared" si="7"/>
        <v>0</v>
      </c>
      <c r="I57" s="160">
        <f t="shared" si="0"/>
        <v>0</v>
      </c>
      <c r="J57" s="160"/>
      <c r="K57" s="335"/>
      <c r="L57" s="162">
        <f t="shared" si="1"/>
        <v>0</v>
      </c>
      <c r="M57" s="335"/>
      <c r="N57" s="162">
        <f t="shared" si="2"/>
        <v>0</v>
      </c>
      <c r="O57" s="162">
        <f t="shared" si="3"/>
        <v>0</v>
      </c>
      <c r="P57" s="4"/>
    </row>
    <row r="58" spans="2:16">
      <c r="B58" s="9" t="str">
        <f t="shared" si="8"/>
        <v/>
      </c>
      <c r="C58" s="157">
        <f>IF(D11="","-",+C57+1)</f>
        <v>2059</v>
      </c>
      <c r="D58" s="166">
        <f>IF(F57+SUM(E$17:E57)=D$10,F57,D$10-SUM(E$17:E57))</f>
        <v>0</v>
      </c>
      <c r="E58" s="164">
        <f t="shared" si="4"/>
        <v>0</v>
      </c>
      <c r="F58" s="163">
        <f t="shared" si="5"/>
        <v>0</v>
      </c>
      <c r="G58" s="165">
        <f t="shared" si="6"/>
        <v>0</v>
      </c>
      <c r="H58" s="147">
        <f t="shared" si="7"/>
        <v>0</v>
      </c>
      <c r="I58" s="160">
        <f t="shared" si="0"/>
        <v>0</v>
      </c>
      <c r="J58" s="160"/>
      <c r="K58" s="335"/>
      <c r="L58" s="162">
        <f t="shared" si="1"/>
        <v>0</v>
      </c>
      <c r="M58" s="335"/>
      <c r="N58" s="162">
        <f t="shared" si="2"/>
        <v>0</v>
      </c>
      <c r="O58" s="162">
        <f t="shared" si="3"/>
        <v>0</v>
      </c>
      <c r="P58" s="4"/>
    </row>
    <row r="59" spans="2:16">
      <c r="B59" s="9" t="str">
        <f t="shared" si="8"/>
        <v/>
      </c>
      <c r="C59" s="157">
        <f>IF(D11="","-",+C58+1)</f>
        <v>2060</v>
      </c>
      <c r="D59" s="166">
        <f>IF(F58+SUM(E$17:E58)=D$10,F58,D$10-SUM(E$17:E58))</f>
        <v>0</v>
      </c>
      <c r="E59" s="164">
        <f t="shared" si="4"/>
        <v>0</v>
      </c>
      <c r="F59" s="163">
        <f t="shared" si="5"/>
        <v>0</v>
      </c>
      <c r="G59" s="165">
        <f t="shared" si="6"/>
        <v>0</v>
      </c>
      <c r="H59" s="147">
        <f t="shared" si="7"/>
        <v>0</v>
      </c>
      <c r="I59" s="160">
        <f t="shared" si="0"/>
        <v>0</v>
      </c>
      <c r="J59" s="160"/>
      <c r="K59" s="335"/>
      <c r="L59" s="162">
        <f t="shared" si="1"/>
        <v>0</v>
      </c>
      <c r="M59" s="335"/>
      <c r="N59" s="162">
        <f t="shared" si="2"/>
        <v>0</v>
      </c>
      <c r="O59" s="162">
        <f t="shared" si="3"/>
        <v>0</v>
      </c>
      <c r="P59" s="4"/>
    </row>
    <row r="60" spans="2:16">
      <c r="B60" s="9" t="str">
        <f t="shared" si="8"/>
        <v/>
      </c>
      <c r="C60" s="157">
        <f>IF(D11="","-",+C59+1)</f>
        <v>2061</v>
      </c>
      <c r="D60" s="166">
        <f>IF(F59+SUM(E$17:E59)=D$10,F59,D$10-SUM(E$17:E59))</f>
        <v>0</v>
      </c>
      <c r="E60" s="164">
        <f t="shared" si="4"/>
        <v>0</v>
      </c>
      <c r="F60" s="163">
        <f t="shared" si="5"/>
        <v>0</v>
      </c>
      <c r="G60" s="165">
        <f t="shared" si="6"/>
        <v>0</v>
      </c>
      <c r="H60" s="147">
        <f t="shared" si="7"/>
        <v>0</v>
      </c>
      <c r="I60" s="160">
        <f t="shared" si="0"/>
        <v>0</v>
      </c>
      <c r="J60" s="160"/>
      <c r="K60" s="335"/>
      <c r="L60" s="162">
        <f t="shared" si="1"/>
        <v>0</v>
      </c>
      <c r="M60" s="335"/>
      <c r="N60" s="162">
        <f t="shared" si="2"/>
        <v>0</v>
      </c>
      <c r="O60" s="162">
        <f t="shared" si="3"/>
        <v>0</v>
      </c>
      <c r="P60" s="4"/>
    </row>
    <row r="61" spans="2:16">
      <c r="B61" s="9" t="str">
        <f t="shared" si="8"/>
        <v/>
      </c>
      <c r="C61" s="157">
        <f>IF(D11="","-",+C60+1)</f>
        <v>2062</v>
      </c>
      <c r="D61" s="166">
        <f>IF(F60+SUM(E$17:E60)=D$10,F60,D$10-SUM(E$17:E60))</f>
        <v>0</v>
      </c>
      <c r="E61" s="164">
        <f t="shared" si="4"/>
        <v>0</v>
      </c>
      <c r="F61" s="163">
        <f t="shared" si="5"/>
        <v>0</v>
      </c>
      <c r="G61" s="165">
        <f t="shared" si="6"/>
        <v>0</v>
      </c>
      <c r="H61" s="147">
        <f t="shared" si="7"/>
        <v>0</v>
      </c>
      <c r="I61" s="160">
        <f t="shared" si="0"/>
        <v>0</v>
      </c>
      <c r="J61" s="160"/>
      <c r="K61" s="335"/>
      <c r="L61" s="162">
        <f t="shared" si="1"/>
        <v>0</v>
      </c>
      <c r="M61" s="335"/>
      <c r="N61" s="162">
        <f t="shared" si="2"/>
        <v>0</v>
      </c>
      <c r="O61" s="162">
        <f t="shared" si="3"/>
        <v>0</v>
      </c>
      <c r="P61" s="4"/>
    </row>
    <row r="62" spans="2:16">
      <c r="B62" s="9" t="str">
        <f t="shared" si="8"/>
        <v/>
      </c>
      <c r="C62" s="157">
        <f>IF(D11="","-",+C61+1)</f>
        <v>2063</v>
      </c>
      <c r="D62" s="166">
        <f>IF(F61+SUM(E$17:E61)=D$10,F61,D$10-SUM(E$17:E61))</f>
        <v>0</v>
      </c>
      <c r="E62" s="164">
        <f t="shared" si="4"/>
        <v>0</v>
      </c>
      <c r="F62" s="163">
        <f t="shared" si="5"/>
        <v>0</v>
      </c>
      <c r="G62" s="165">
        <f t="shared" si="6"/>
        <v>0</v>
      </c>
      <c r="H62" s="147">
        <f t="shared" si="7"/>
        <v>0</v>
      </c>
      <c r="I62" s="160">
        <f t="shared" si="0"/>
        <v>0</v>
      </c>
      <c r="J62" s="160"/>
      <c r="K62" s="335"/>
      <c r="L62" s="162">
        <f t="shared" si="1"/>
        <v>0</v>
      </c>
      <c r="M62" s="335"/>
      <c r="N62" s="162">
        <f t="shared" si="2"/>
        <v>0</v>
      </c>
      <c r="O62" s="162">
        <f t="shared" si="3"/>
        <v>0</v>
      </c>
      <c r="P62" s="4"/>
    </row>
    <row r="63" spans="2:16">
      <c r="B63" s="9" t="str">
        <f t="shared" si="8"/>
        <v/>
      </c>
      <c r="C63" s="157">
        <f>IF(D11="","-",+C62+1)</f>
        <v>2064</v>
      </c>
      <c r="D63" s="166">
        <f>IF(F62+SUM(E$17:E62)=D$10,F62,D$10-SUM(E$17:E62))</f>
        <v>0</v>
      </c>
      <c r="E63" s="164">
        <f t="shared" si="4"/>
        <v>0</v>
      </c>
      <c r="F63" s="163">
        <f t="shared" si="5"/>
        <v>0</v>
      </c>
      <c r="G63" s="165">
        <f t="shared" si="6"/>
        <v>0</v>
      </c>
      <c r="H63" s="147">
        <f t="shared" si="7"/>
        <v>0</v>
      </c>
      <c r="I63" s="160">
        <f t="shared" si="0"/>
        <v>0</v>
      </c>
      <c r="J63" s="160"/>
      <c r="K63" s="335"/>
      <c r="L63" s="162">
        <f t="shared" si="1"/>
        <v>0</v>
      </c>
      <c r="M63" s="335"/>
      <c r="N63" s="162">
        <f t="shared" si="2"/>
        <v>0</v>
      </c>
      <c r="O63" s="162">
        <f t="shared" si="3"/>
        <v>0</v>
      </c>
      <c r="P63" s="4"/>
    </row>
    <row r="64" spans="2:16">
      <c r="B64" s="9" t="str">
        <f t="shared" si="8"/>
        <v/>
      </c>
      <c r="C64" s="157">
        <f>IF(D11="","-",+C63+1)</f>
        <v>2065</v>
      </c>
      <c r="D64" s="166">
        <f>IF(F63+SUM(E$17:E63)=D$10,F63,D$10-SUM(E$17:E63))</f>
        <v>0</v>
      </c>
      <c r="E64" s="164">
        <f t="shared" si="4"/>
        <v>0</v>
      </c>
      <c r="F64" s="163">
        <f t="shared" si="5"/>
        <v>0</v>
      </c>
      <c r="G64" s="165">
        <f t="shared" si="6"/>
        <v>0</v>
      </c>
      <c r="H64" s="147">
        <f t="shared" si="7"/>
        <v>0</v>
      </c>
      <c r="I64" s="160">
        <f t="shared" si="0"/>
        <v>0</v>
      </c>
      <c r="J64" s="160"/>
      <c r="K64" s="335"/>
      <c r="L64" s="162">
        <f t="shared" si="1"/>
        <v>0</v>
      </c>
      <c r="M64" s="335"/>
      <c r="N64" s="162">
        <f t="shared" si="2"/>
        <v>0</v>
      </c>
      <c r="O64" s="162">
        <f t="shared" si="3"/>
        <v>0</v>
      </c>
      <c r="P64" s="4"/>
    </row>
    <row r="65" spans="2:16">
      <c r="B65" s="9" t="str">
        <f t="shared" si="8"/>
        <v/>
      </c>
      <c r="C65" s="157">
        <f>IF(D11="","-",+C64+1)</f>
        <v>2066</v>
      </c>
      <c r="D65" s="166">
        <f>IF(F64+SUM(E$17:E64)=D$10,F64,D$10-SUM(E$17:E64))</f>
        <v>0</v>
      </c>
      <c r="E65" s="164">
        <f t="shared" si="4"/>
        <v>0</v>
      </c>
      <c r="F65" s="163">
        <f t="shared" si="5"/>
        <v>0</v>
      </c>
      <c r="G65" s="165">
        <f t="shared" si="6"/>
        <v>0</v>
      </c>
      <c r="H65" s="147">
        <f t="shared" si="7"/>
        <v>0</v>
      </c>
      <c r="I65" s="160">
        <f t="shared" si="0"/>
        <v>0</v>
      </c>
      <c r="J65" s="160"/>
      <c r="K65" s="335"/>
      <c r="L65" s="162">
        <f t="shared" si="1"/>
        <v>0</v>
      </c>
      <c r="M65" s="335"/>
      <c r="N65" s="162">
        <f t="shared" si="2"/>
        <v>0</v>
      </c>
      <c r="O65" s="162">
        <f t="shared" si="3"/>
        <v>0</v>
      </c>
      <c r="P65" s="4"/>
    </row>
    <row r="66" spans="2:16">
      <c r="B66" s="9" t="str">
        <f t="shared" si="8"/>
        <v/>
      </c>
      <c r="C66" s="157">
        <f>IF(D11="","-",+C65+1)</f>
        <v>2067</v>
      </c>
      <c r="D66" s="166">
        <f>IF(F65+SUM(E$17:E65)=D$10,F65,D$10-SUM(E$17:E65))</f>
        <v>0</v>
      </c>
      <c r="E66" s="164">
        <f t="shared" si="4"/>
        <v>0</v>
      </c>
      <c r="F66" s="163">
        <f t="shared" si="5"/>
        <v>0</v>
      </c>
      <c r="G66" s="165">
        <f t="shared" si="6"/>
        <v>0</v>
      </c>
      <c r="H66" s="147">
        <f t="shared" si="7"/>
        <v>0</v>
      </c>
      <c r="I66" s="160">
        <f t="shared" si="0"/>
        <v>0</v>
      </c>
      <c r="J66" s="160"/>
      <c r="K66" s="335"/>
      <c r="L66" s="162">
        <f t="shared" si="1"/>
        <v>0</v>
      </c>
      <c r="M66" s="335"/>
      <c r="N66" s="162">
        <f t="shared" si="2"/>
        <v>0</v>
      </c>
      <c r="O66" s="162">
        <f t="shared" si="3"/>
        <v>0</v>
      </c>
      <c r="P66" s="4"/>
    </row>
    <row r="67" spans="2:16">
      <c r="B67" s="9" t="str">
        <f t="shared" si="8"/>
        <v/>
      </c>
      <c r="C67" s="157">
        <f>IF(D11="","-",+C66+1)</f>
        <v>2068</v>
      </c>
      <c r="D67" s="166">
        <f>IF(F66+SUM(E$17:E66)=D$10,F66,D$10-SUM(E$17:E66))</f>
        <v>0</v>
      </c>
      <c r="E67" s="164">
        <f t="shared" si="4"/>
        <v>0</v>
      </c>
      <c r="F67" s="163">
        <f t="shared" si="5"/>
        <v>0</v>
      </c>
      <c r="G67" s="165">
        <f t="shared" si="6"/>
        <v>0</v>
      </c>
      <c r="H67" s="147">
        <f t="shared" si="7"/>
        <v>0</v>
      </c>
      <c r="I67" s="160">
        <f t="shared" si="0"/>
        <v>0</v>
      </c>
      <c r="J67" s="160"/>
      <c r="K67" s="335"/>
      <c r="L67" s="162">
        <f t="shared" si="1"/>
        <v>0</v>
      </c>
      <c r="M67" s="335"/>
      <c r="N67" s="162">
        <f t="shared" si="2"/>
        <v>0</v>
      </c>
      <c r="O67" s="162">
        <f t="shared" si="3"/>
        <v>0</v>
      </c>
      <c r="P67" s="4"/>
    </row>
    <row r="68" spans="2:16">
      <c r="B68" s="9" t="str">
        <f t="shared" si="8"/>
        <v/>
      </c>
      <c r="C68" s="157">
        <f>IF(D11="","-",+C67+1)</f>
        <v>2069</v>
      </c>
      <c r="D68" s="166">
        <f>IF(F67+SUM(E$17:E67)=D$10,F67,D$10-SUM(E$17:E67))</f>
        <v>0</v>
      </c>
      <c r="E68" s="164">
        <f t="shared" si="4"/>
        <v>0</v>
      </c>
      <c r="F68" s="163">
        <f t="shared" si="5"/>
        <v>0</v>
      </c>
      <c r="G68" s="165">
        <f t="shared" si="6"/>
        <v>0</v>
      </c>
      <c r="H68" s="147">
        <f t="shared" si="7"/>
        <v>0</v>
      </c>
      <c r="I68" s="160">
        <f t="shared" si="0"/>
        <v>0</v>
      </c>
      <c r="J68" s="160"/>
      <c r="K68" s="335"/>
      <c r="L68" s="162">
        <f t="shared" si="1"/>
        <v>0</v>
      </c>
      <c r="M68" s="335"/>
      <c r="N68" s="162">
        <f t="shared" si="2"/>
        <v>0</v>
      </c>
      <c r="O68" s="162">
        <f t="shared" si="3"/>
        <v>0</v>
      </c>
      <c r="P68" s="4"/>
    </row>
    <row r="69" spans="2:16">
      <c r="B69" s="9" t="str">
        <f t="shared" si="8"/>
        <v/>
      </c>
      <c r="C69" s="157">
        <f>IF(D11="","-",+C68+1)</f>
        <v>2070</v>
      </c>
      <c r="D69" s="166">
        <f>IF(F68+SUM(E$17:E68)=D$10,F68,D$10-SUM(E$17:E68))</f>
        <v>0</v>
      </c>
      <c r="E69" s="164">
        <f t="shared" si="4"/>
        <v>0</v>
      </c>
      <c r="F69" s="163">
        <f t="shared" si="5"/>
        <v>0</v>
      </c>
      <c r="G69" s="165">
        <f t="shared" si="6"/>
        <v>0</v>
      </c>
      <c r="H69" s="147">
        <f t="shared" si="7"/>
        <v>0</v>
      </c>
      <c r="I69" s="160">
        <f t="shared" si="0"/>
        <v>0</v>
      </c>
      <c r="J69" s="160"/>
      <c r="K69" s="335"/>
      <c r="L69" s="162">
        <f t="shared" si="1"/>
        <v>0</v>
      </c>
      <c r="M69" s="335"/>
      <c r="N69" s="162">
        <f t="shared" si="2"/>
        <v>0</v>
      </c>
      <c r="O69" s="162">
        <f t="shared" si="3"/>
        <v>0</v>
      </c>
      <c r="P69" s="4"/>
    </row>
    <row r="70" spans="2:16">
      <c r="B70" s="9" t="str">
        <f t="shared" si="8"/>
        <v/>
      </c>
      <c r="C70" s="157">
        <f>IF(D11="","-",+C69+1)</f>
        <v>2071</v>
      </c>
      <c r="D70" s="166">
        <f>IF(F69+SUM(E$17:E69)=D$10,F69,D$10-SUM(E$17:E69))</f>
        <v>0</v>
      </c>
      <c r="E70" s="164">
        <f t="shared" si="4"/>
        <v>0</v>
      </c>
      <c r="F70" s="163">
        <f t="shared" si="5"/>
        <v>0</v>
      </c>
      <c r="G70" s="165">
        <f t="shared" si="6"/>
        <v>0</v>
      </c>
      <c r="H70" s="147">
        <f t="shared" si="7"/>
        <v>0</v>
      </c>
      <c r="I70" s="160">
        <f t="shared" si="0"/>
        <v>0</v>
      </c>
      <c r="J70" s="160"/>
      <c r="K70" s="335"/>
      <c r="L70" s="162">
        <f t="shared" si="1"/>
        <v>0</v>
      </c>
      <c r="M70" s="335"/>
      <c r="N70" s="162">
        <f t="shared" si="2"/>
        <v>0</v>
      </c>
      <c r="O70" s="162">
        <f t="shared" si="3"/>
        <v>0</v>
      </c>
      <c r="P70" s="4"/>
    </row>
    <row r="71" spans="2:16">
      <c r="B71" s="9" t="str">
        <f t="shared" si="8"/>
        <v/>
      </c>
      <c r="C71" s="157">
        <f>IF(D11="","-",+C70+1)</f>
        <v>2072</v>
      </c>
      <c r="D71" s="166">
        <f>IF(F70+SUM(E$17:E70)=D$10,F70,D$10-SUM(E$17:E70))</f>
        <v>0</v>
      </c>
      <c r="E71" s="164">
        <f t="shared" si="4"/>
        <v>0</v>
      </c>
      <c r="F71" s="163">
        <f t="shared" si="5"/>
        <v>0</v>
      </c>
      <c r="G71" s="165">
        <f t="shared" si="6"/>
        <v>0</v>
      </c>
      <c r="H71" s="147">
        <f t="shared" si="7"/>
        <v>0</v>
      </c>
      <c r="I71" s="160">
        <f t="shared" si="0"/>
        <v>0</v>
      </c>
      <c r="J71" s="160"/>
      <c r="K71" s="335"/>
      <c r="L71" s="162">
        <f t="shared" si="1"/>
        <v>0</v>
      </c>
      <c r="M71" s="335"/>
      <c r="N71" s="162">
        <f t="shared" si="2"/>
        <v>0</v>
      </c>
      <c r="O71" s="162">
        <f t="shared" si="3"/>
        <v>0</v>
      </c>
      <c r="P71" s="4"/>
    </row>
    <row r="72" spans="2:16" ht="13.5" thickBot="1">
      <c r="B72" s="9" t="str">
        <f t="shared" si="8"/>
        <v/>
      </c>
      <c r="C72" s="168">
        <f>IF(D11="","-",+C71+1)</f>
        <v>2073</v>
      </c>
      <c r="D72" s="462">
        <f>IF(F71+SUM(E$17:E71)=D$10,F71,D$10-SUM(E$17:E71))</f>
        <v>0</v>
      </c>
      <c r="E72" s="170">
        <f t="shared" si="4"/>
        <v>0</v>
      </c>
      <c r="F72" s="169">
        <f t="shared" si="5"/>
        <v>0</v>
      </c>
      <c r="G72" s="377">
        <f t="shared" si="6"/>
        <v>0</v>
      </c>
      <c r="H72" s="130">
        <f t="shared" si="7"/>
        <v>0</v>
      </c>
      <c r="I72" s="172">
        <f t="shared" si="0"/>
        <v>0</v>
      </c>
      <c r="J72" s="160"/>
      <c r="K72" s="336"/>
      <c r="L72" s="173">
        <f t="shared" si="1"/>
        <v>0</v>
      </c>
      <c r="M72" s="336"/>
      <c r="N72" s="173">
        <f t="shared" si="2"/>
        <v>0</v>
      </c>
      <c r="O72" s="173">
        <f t="shared" si="3"/>
        <v>0</v>
      </c>
      <c r="P72" s="4"/>
    </row>
    <row r="73" spans="2:16">
      <c r="C73" s="158" t="s">
        <v>72</v>
      </c>
      <c r="D73" s="115"/>
      <c r="E73" s="115">
        <f>SUM(E17:E72)</f>
        <v>302080</v>
      </c>
      <c r="F73" s="115"/>
      <c r="G73" s="115">
        <f>SUM(G17:G72)</f>
        <v>1046523.9196923395</v>
      </c>
      <c r="H73" s="115">
        <f>SUM(H17:H72)</f>
        <v>1046523.9196923395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24 of 28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2018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81460.13871045578</v>
      </c>
      <c r="N87" s="202">
        <f>IF(J92&lt;D11,0,VLOOKUP(J92,C17:O72,11))</f>
        <v>81460.13871045578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15517.180013537691</v>
      </c>
      <c r="N88" s="204">
        <f>IF(J92&lt;D11,0,VLOOKUP(J92,C99:P154,7))</f>
        <v>15517.180013537691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Fort Townson-Valliant Line Rebuild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-65942.958696918096</v>
      </c>
      <c r="N89" s="207">
        <f>+N88-N87</f>
        <v>-65942.958696918096</v>
      </c>
      <c r="O89" s="208">
        <f>+O88-O87</f>
        <v>0</v>
      </c>
      <c r="P89" s="1"/>
    </row>
    <row r="90" spans="1:16" ht="13.5" thickBot="1">
      <c r="C90" s="174"/>
      <c r="D90" s="177">
        <f>D8</f>
        <v>0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>
        <f>+D9</f>
        <v>0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222">
        <f>IF(D11=I10,0,D10)</f>
        <v>302080</v>
      </c>
      <c r="E92" s="22" t="s">
        <v>89</v>
      </c>
      <c r="H92" s="139"/>
      <c r="I92" s="139"/>
      <c r="J92" s="140">
        <f>+'PSO.WS.G.BPU.ATRR.True-up'!M16</f>
        <v>2018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2018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12</v>
      </c>
      <c r="E94" s="141" t="s">
        <v>51</v>
      </c>
      <c r="F94" s="139"/>
      <c r="G94" s="139"/>
      <c r="J94" s="145">
        <f>'PSO.WS.G.BPU.ATRR.True-up'!$F$81</f>
        <v>0.10273556682691798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43</v>
      </c>
      <c r="E95" s="141" t="s">
        <v>54</v>
      </c>
      <c r="F95" s="139"/>
      <c r="G95" s="139"/>
      <c r="J95" s="145">
        <f>IF(H87="",J94,'PSO.WS.G.BPU.ATRR.True-up'!$F$80)</f>
        <v>0.10273556682691798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7025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277</v>
      </c>
      <c r="I97" s="339" t="s">
        <v>278</v>
      </c>
      <c r="J97" s="214" t="s">
        <v>93</v>
      </c>
      <c r="K97" s="216"/>
      <c r="L97" s="151" t="s">
        <v>97</v>
      </c>
      <c r="M97" s="151" t="s">
        <v>94</v>
      </c>
      <c r="N97" s="151" t="s">
        <v>97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2018</v>
      </c>
      <c r="D99" s="158">
        <v>0</v>
      </c>
      <c r="E99" s="165">
        <v>0</v>
      </c>
      <c r="F99" s="163">
        <v>302080</v>
      </c>
      <c r="G99" s="218">
        <v>151040</v>
      </c>
      <c r="H99" s="218">
        <v>15517.180013537691</v>
      </c>
      <c r="I99" s="218">
        <v>15517.180013537691</v>
      </c>
      <c r="J99" s="162">
        <f t="shared" ref="J99:J130" si="9">+I99-H99</f>
        <v>0</v>
      </c>
      <c r="K99" s="162"/>
      <c r="L99" s="334"/>
      <c r="M99" s="161">
        <f t="shared" ref="M99:M130" si="10">IF(L99&lt;&gt;0,+H99-L99,0)</f>
        <v>0</v>
      </c>
      <c r="N99" s="334"/>
      <c r="O99" s="161">
        <f t="shared" ref="O99:O130" si="11">IF(N99&lt;&gt;0,+I99-N99,0)</f>
        <v>0</v>
      </c>
      <c r="P99" s="161">
        <f t="shared" ref="P99:P130" si="12">+O99-M99</f>
        <v>0</v>
      </c>
    </row>
    <row r="100" spans="1:16">
      <c r="B100" s="9" t="str">
        <f>IF(D100=F99,"","IU")</f>
        <v/>
      </c>
      <c r="C100" s="157">
        <f>IF(D93="","-",+C99+1)</f>
        <v>2019</v>
      </c>
      <c r="D100" s="158">
        <f>IF(F99+SUM(E$99:E99)=D$92,F99,D$92-SUM(E$99:E99))</f>
        <v>302080</v>
      </c>
      <c r="E100" s="164">
        <f>IF(+J$96&lt;F99,J$96,D100)</f>
        <v>7025</v>
      </c>
      <c r="F100" s="163">
        <f>+D100-E100</f>
        <v>295055</v>
      </c>
      <c r="G100" s="163">
        <f>+(F100+D100)/2</f>
        <v>298567.5</v>
      </c>
      <c r="H100" s="333">
        <f t="shared" ref="H100:H154" si="13">+J$94*G100+E100</f>
        <v>37698.501348595833</v>
      </c>
      <c r="I100" s="344">
        <f t="shared" ref="I100:I154" si="14">+J$95*G100+E100</f>
        <v>37698.501348595833</v>
      </c>
      <c r="J100" s="162">
        <f t="shared" si="9"/>
        <v>0</v>
      </c>
      <c r="K100" s="162"/>
      <c r="L100" s="335"/>
      <c r="M100" s="162">
        <f t="shared" si="10"/>
        <v>0</v>
      </c>
      <c r="N100" s="335"/>
      <c r="O100" s="162">
        <f t="shared" si="11"/>
        <v>0</v>
      </c>
      <c r="P100" s="162">
        <f t="shared" si="12"/>
        <v>0</v>
      </c>
    </row>
    <row r="101" spans="1:16">
      <c r="B101" s="9" t="str">
        <f t="shared" ref="B101:B154" si="15">IF(D101=F100,"","IU")</f>
        <v/>
      </c>
      <c r="C101" s="157">
        <f>IF(D93="","-",+C100+1)</f>
        <v>2020</v>
      </c>
      <c r="D101" s="158">
        <f>IF(F100+SUM(E$99:E100)=D$92,F100,D$92-SUM(E$99:E100))</f>
        <v>295055</v>
      </c>
      <c r="E101" s="164">
        <f t="shared" ref="E101:E154" si="16">IF(+J$96&lt;F100,J$96,D101)</f>
        <v>7025</v>
      </c>
      <c r="F101" s="163">
        <f t="shared" ref="F101:F154" si="17">+D101-E101</f>
        <v>288030</v>
      </c>
      <c r="G101" s="163">
        <f t="shared" ref="G101:G154" si="18">+(F101+D101)/2</f>
        <v>291542.5</v>
      </c>
      <c r="H101" s="333">
        <f t="shared" si="13"/>
        <v>36976.783991636737</v>
      </c>
      <c r="I101" s="344">
        <f t="shared" si="14"/>
        <v>36976.783991636737</v>
      </c>
      <c r="J101" s="162">
        <f t="shared" si="9"/>
        <v>0</v>
      </c>
      <c r="K101" s="162"/>
      <c r="L101" s="335"/>
      <c r="M101" s="162">
        <f t="shared" si="10"/>
        <v>0</v>
      </c>
      <c r="N101" s="335"/>
      <c r="O101" s="162">
        <f t="shared" si="11"/>
        <v>0</v>
      </c>
      <c r="P101" s="162">
        <f t="shared" si="12"/>
        <v>0</v>
      </c>
    </row>
    <row r="102" spans="1:16">
      <c r="B102" s="9" t="str">
        <f t="shared" si="15"/>
        <v/>
      </c>
      <c r="C102" s="157">
        <f>IF(D93="","-",+C101+1)</f>
        <v>2021</v>
      </c>
      <c r="D102" s="158">
        <f>IF(F101+SUM(E$99:E101)=D$92,F101,D$92-SUM(E$99:E101))</f>
        <v>288030</v>
      </c>
      <c r="E102" s="164">
        <f t="shared" si="16"/>
        <v>7025</v>
      </c>
      <c r="F102" s="163">
        <f t="shared" si="17"/>
        <v>281005</v>
      </c>
      <c r="G102" s="163">
        <f t="shared" si="18"/>
        <v>284517.5</v>
      </c>
      <c r="H102" s="333">
        <f t="shared" si="13"/>
        <v>36255.066634677634</v>
      </c>
      <c r="I102" s="344">
        <f t="shared" si="14"/>
        <v>36255.066634677634</v>
      </c>
      <c r="J102" s="162">
        <f t="shared" si="9"/>
        <v>0</v>
      </c>
      <c r="K102" s="162"/>
      <c r="L102" s="335"/>
      <c r="M102" s="162">
        <f t="shared" si="10"/>
        <v>0</v>
      </c>
      <c r="N102" s="335"/>
      <c r="O102" s="162">
        <f t="shared" si="11"/>
        <v>0</v>
      </c>
      <c r="P102" s="162">
        <f t="shared" si="12"/>
        <v>0</v>
      </c>
    </row>
    <row r="103" spans="1:16">
      <c r="B103" s="9" t="str">
        <f t="shared" si="15"/>
        <v/>
      </c>
      <c r="C103" s="157">
        <f>IF(D93="","-",+C102+1)</f>
        <v>2022</v>
      </c>
      <c r="D103" s="158">
        <f>IF(F102+SUM(E$99:E102)=D$92,F102,D$92-SUM(E$99:E102))</f>
        <v>281005</v>
      </c>
      <c r="E103" s="164">
        <f t="shared" si="16"/>
        <v>7025</v>
      </c>
      <c r="F103" s="163">
        <f t="shared" si="17"/>
        <v>273980</v>
      </c>
      <c r="G103" s="163">
        <f t="shared" si="18"/>
        <v>277492.5</v>
      </c>
      <c r="H103" s="333">
        <f t="shared" si="13"/>
        <v>35533.349277718538</v>
      </c>
      <c r="I103" s="344">
        <f t="shared" si="14"/>
        <v>35533.349277718538</v>
      </c>
      <c r="J103" s="162">
        <f t="shared" si="9"/>
        <v>0</v>
      </c>
      <c r="K103" s="162"/>
      <c r="L103" s="335"/>
      <c r="M103" s="162">
        <f t="shared" si="10"/>
        <v>0</v>
      </c>
      <c r="N103" s="335"/>
      <c r="O103" s="162">
        <f t="shared" si="11"/>
        <v>0</v>
      </c>
      <c r="P103" s="162">
        <f t="shared" si="12"/>
        <v>0</v>
      </c>
    </row>
    <row r="104" spans="1:16">
      <c r="B104" s="9" t="str">
        <f t="shared" si="15"/>
        <v/>
      </c>
      <c r="C104" s="157">
        <f>IF(D93="","-",+C103+1)</f>
        <v>2023</v>
      </c>
      <c r="D104" s="158">
        <f>IF(F103+SUM(E$99:E103)=D$92,F103,D$92-SUM(E$99:E103))</f>
        <v>273980</v>
      </c>
      <c r="E104" s="164">
        <f t="shared" si="16"/>
        <v>7025</v>
      </c>
      <c r="F104" s="163">
        <f t="shared" si="17"/>
        <v>266955</v>
      </c>
      <c r="G104" s="163">
        <f t="shared" si="18"/>
        <v>270467.5</v>
      </c>
      <c r="H104" s="333">
        <f t="shared" si="13"/>
        <v>34811.631920759435</v>
      </c>
      <c r="I104" s="344">
        <f t="shared" si="14"/>
        <v>34811.631920759435</v>
      </c>
      <c r="J104" s="162">
        <f t="shared" si="9"/>
        <v>0</v>
      </c>
      <c r="K104" s="162"/>
      <c r="L104" s="335"/>
      <c r="M104" s="162">
        <f t="shared" si="10"/>
        <v>0</v>
      </c>
      <c r="N104" s="335"/>
      <c r="O104" s="162">
        <f t="shared" si="11"/>
        <v>0</v>
      </c>
      <c r="P104" s="162">
        <f t="shared" si="12"/>
        <v>0</v>
      </c>
    </row>
    <row r="105" spans="1:16">
      <c r="B105" s="9" t="str">
        <f t="shared" si="15"/>
        <v/>
      </c>
      <c r="C105" s="157">
        <f>IF(D93="","-",+C104+1)</f>
        <v>2024</v>
      </c>
      <c r="D105" s="158">
        <f>IF(F104+SUM(E$99:E104)=D$92,F104,D$92-SUM(E$99:E104))</f>
        <v>266955</v>
      </c>
      <c r="E105" s="164">
        <f t="shared" si="16"/>
        <v>7025</v>
      </c>
      <c r="F105" s="163">
        <f t="shared" si="17"/>
        <v>259930</v>
      </c>
      <c r="G105" s="163">
        <f t="shared" si="18"/>
        <v>263442.5</v>
      </c>
      <c r="H105" s="333">
        <f t="shared" si="13"/>
        <v>34089.914563800339</v>
      </c>
      <c r="I105" s="344">
        <f t="shared" si="14"/>
        <v>34089.914563800339</v>
      </c>
      <c r="J105" s="162">
        <f t="shared" si="9"/>
        <v>0</v>
      </c>
      <c r="K105" s="162"/>
      <c r="L105" s="335"/>
      <c r="M105" s="162">
        <f t="shared" si="10"/>
        <v>0</v>
      </c>
      <c r="N105" s="335"/>
      <c r="O105" s="162">
        <f t="shared" si="11"/>
        <v>0</v>
      </c>
      <c r="P105" s="162">
        <f t="shared" si="12"/>
        <v>0</v>
      </c>
    </row>
    <row r="106" spans="1:16">
      <c r="B106" s="9" t="str">
        <f t="shared" si="15"/>
        <v/>
      </c>
      <c r="C106" s="157">
        <f>IF(D93="","-",+C105+1)</f>
        <v>2025</v>
      </c>
      <c r="D106" s="158">
        <f>IF(F105+SUM(E$99:E105)=D$92,F105,D$92-SUM(E$99:E105))</f>
        <v>259930</v>
      </c>
      <c r="E106" s="164">
        <f t="shared" si="16"/>
        <v>7025</v>
      </c>
      <c r="F106" s="163">
        <f t="shared" si="17"/>
        <v>252905</v>
      </c>
      <c r="G106" s="163">
        <f t="shared" si="18"/>
        <v>256417.5</v>
      </c>
      <c r="H106" s="333">
        <f t="shared" si="13"/>
        <v>33368.197206841243</v>
      </c>
      <c r="I106" s="344">
        <f t="shared" si="14"/>
        <v>33368.197206841243</v>
      </c>
      <c r="J106" s="162">
        <f t="shared" si="9"/>
        <v>0</v>
      </c>
      <c r="K106" s="162"/>
      <c r="L106" s="335"/>
      <c r="M106" s="162">
        <f t="shared" si="10"/>
        <v>0</v>
      </c>
      <c r="N106" s="335"/>
      <c r="O106" s="162">
        <f t="shared" si="11"/>
        <v>0</v>
      </c>
      <c r="P106" s="162">
        <f t="shared" si="12"/>
        <v>0</v>
      </c>
    </row>
    <row r="107" spans="1:16">
      <c r="B107" s="9" t="str">
        <f t="shared" si="15"/>
        <v/>
      </c>
      <c r="C107" s="157">
        <f>IF(D93="","-",+C106+1)</f>
        <v>2026</v>
      </c>
      <c r="D107" s="158">
        <f>IF(F106+SUM(E$99:E106)=D$92,F106,D$92-SUM(E$99:E106))</f>
        <v>252905</v>
      </c>
      <c r="E107" s="164">
        <f t="shared" si="16"/>
        <v>7025</v>
      </c>
      <c r="F107" s="163">
        <f t="shared" si="17"/>
        <v>245880</v>
      </c>
      <c r="G107" s="163">
        <f t="shared" si="18"/>
        <v>249392.5</v>
      </c>
      <c r="H107" s="333">
        <f t="shared" si="13"/>
        <v>32646.479849882144</v>
      </c>
      <c r="I107" s="344">
        <f t="shared" si="14"/>
        <v>32646.479849882144</v>
      </c>
      <c r="J107" s="162">
        <f t="shared" si="9"/>
        <v>0</v>
      </c>
      <c r="K107" s="162"/>
      <c r="L107" s="335"/>
      <c r="M107" s="162">
        <f t="shared" si="10"/>
        <v>0</v>
      </c>
      <c r="N107" s="335"/>
      <c r="O107" s="162">
        <f t="shared" si="11"/>
        <v>0</v>
      </c>
      <c r="P107" s="162">
        <f t="shared" si="12"/>
        <v>0</v>
      </c>
    </row>
    <row r="108" spans="1:16">
      <c r="B108" s="9" t="str">
        <f t="shared" si="15"/>
        <v/>
      </c>
      <c r="C108" s="157">
        <f>IF(D93="","-",+C107+1)</f>
        <v>2027</v>
      </c>
      <c r="D108" s="158">
        <f>IF(F107+SUM(E$99:E107)=D$92,F107,D$92-SUM(E$99:E107))</f>
        <v>245880</v>
      </c>
      <c r="E108" s="164">
        <f t="shared" si="16"/>
        <v>7025</v>
      </c>
      <c r="F108" s="163">
        <f t="shared" si="17"/>
        <v>238855</v>
      </c>
      <c r="G108" s="163">
        <f t="shared" si="18"/>
        <v>242367.5</v>
      </c>
      <c r="H108" s="333">
        <f t="shared" si="13"/>
        <v>31924.762492923044</v>
      </c>
      <c r="I108" s="344">
        <f t="shared" si="14"/>
        <v>31924.762492923044</v>
      </c>
      <c r="J108" s="162">
        <f t="shared" si="9"/>
        <v>0</v>
      </c>
      <c r="K108" s="162"/>
      <c r="L108" s="335"/>
      <c r="M108" s="162">
        <f t="shared" si="10"/>
        <v>0</v>
      </c>
      <c r="N108" s="335"/>
      <c r="O108" s="162">
        <f t="shared" si="11"/>
        <v>0</v>
      </c>
      <c r="P108" s="162">
        <f t="shared" si="12"/>
        <v>0</v>
      </c>
    </row>
    <row r="109" spans="1:16">
      <c r="B109" s="9" t="str">
        <f t="shared" si="15"/>
        <v/>
      </c>
      <c r="C109" s="157">
        <f>IF(D93="","-",+C108+1)</f>
        <v>2028</v>
      </c>
      <c r="D109" s="158">
        <f>IF(F108+SUM(E$99:E108)=D$92,F108,D$92-SUM(E$99:E108))</f>
        <v>238855</v>
      </c>
      <c r="E109" s="164">
        <f t="shared" si="16"/>
        <v>7025</v>
      </c>
      <c r="F109" s="163">
        <f t="shared" si="17"/>
        <v>231830</v>
      </c>
      <c r="G109" s="163">
        <f t="shared" si="18"/>
        <v>235342.5</v>
      </c>
      <c r="H109" s="333">
        <f t="shared" si="13"/>
        <v>31203.045135963945</v>
      </c>
      <c r="I109" s="344">
        <f t="shared" si="14"/>
        <v>31203.045135963945</v>
      </c>
      <c r="J109" s="162">
        <f t="shared" si="9"/>
        <v>0</v>
      </c>
      <c r="K109" s="162"/>
      <c r="L109" s="335"/>
      <c r="M109" s="162">
        <f t="shared" si="10"/>
        <v>0</v>
      </c>
      <c r="N109" s="335"/>
      <c r="O109" s="162">
        <f t="shared" si="11"/>
        <v>0</v>
      </c>
      <c r="P109" s="162">
        <f t="shared" si="12"/>
        <v>0</v>
      </c>
    </row>
    <row r="110" spans="1:16">
      <c r="B110" s="9" t="str">
        <f t="shared" si="15"/>
        <v/>
      </c>
      <c r="C110" s="157">
        <f>IF(D93="","-",+C109+1)</f>
        <v>2029</v>
      </c>
      <c r="D110" s="158">
        <f>IF(F109+SUM(E$99:E109)=D$92,F109,D$92-SUM(E$99:E109))</f>
        <v>231830</v>
      </c>
      <c r="E110" s="164">
        <f t="shared" si="16"/>
        <v>7025</v>
      </c>
      <c r="F110" s="163">
        <f t="shared" si="17"/>
        <v>224805</v>
      </c>
      <c r="G110" s="163">
        <f t="shared" si="18"/>
        <v>228317.5</v>
      </c>
      <c r="H110" s="333">
        <f t="shared" si="13"/>
        <v>30481.327779004845</v>
      </c>
      <c r="I110" s="344">
        <f t="shared" si="14"/>
        <v>30481.327779004845</v>
      </c>
      <c r="J110" s="162">
        <f t="shared" si="9"/>
        <v>0</v>
      </c>
      <c r="K110" s="162"/>
      <c r="L110" s="335"/>
      <c r="M110" s="162">
        <f t="shared" si="10"/>
        <v>0</v>
      </c>
      <c r="N110" s="335"/>
      <c r="O110" s="162">
        <f t="shared" si="11"/>
        <v>0</v>
      </c>
      <c r="P110" s="162">
        <f t="shared" si="12"/>
        <v>0</v>
      </c>
    </row>
    <row r="111" spans="1:16">
      <c r="B111" s="9" t="str">
        <f t="shared" si="15"/>
        <v/>
      </c>
      <c r="C111" s="157">
        <f>IF(D93="","-",+C110+1)</f>
        <v>2030</v>
      </c>
      <c r="D111" s="158">
        <f>IF(F110+SUM(E$99:E110)=D$92,F110,D$92-SUM(E$99:E110))</f>
        <v>224805</v>
      </c>
      <c r="E111" s="164">
        <f t="shared" si="16"/>
        <v>7025</v>
      </c>
      <c r="F111" s="163">
        <f t="shared" si="17"/>
        <v>217780</v>
      </c>
      <c r="G111" s="163">
        <f t="shared" si="18"/>
        <v>221292.5</v>
      </c>
      <c r="H111" s="333">
        <f t="shared" si="13"/>
        <v>29759.610422045746</v>
      </c>
      <c r="I111" s="344">
        <f t="shared" si="14"/>
        <v>29759.610422045746</v>
      </c>
      <c r="J111" s="162">
        <f t="shared" si="9"/>
        <v>0</v>
      </c>
      <c r="K111" s="162"/>
      <c r="L111" s="335"/>
      <c r="M111" s="162">
        <f t="shared" si="10"/>
        <v>0</v>
      </c>
      <c r="N111" s="335"/>
      <c r="O111" s="162">
        <f t="shared" si="11"/>
        <v>0</v>
      </c>
      <c r="P111" s="162">
        <f t="shared" si="12"/>
        <v>0</v>
      </c>
    </row>
    <row r="112" spans="1:16">
      <c r="B112" s="9" t="str">
        <f t="shared" si="15"/>
        <v/>
      </c>
      <c r="C112" s="157">
        <f>IF(D93="","-",+C111+1)</f>
        <v>2031</v>
      </c>
      <c r="D112" s="158">
        <f>IF(F111+SUM(E$99:E111)=D$92,F111,D$92-SUM(E$99:E111))</f>
        <v>217780</v>
      </c>
      <c r="E112" s="164">
        <f t="shared" si="16"/>
        <v>7025</v>
      </c>
      <c r="F112" s="163">
        <f t="shared" si="17"/>
        <v>210755</v>
      </c>
      <c r="G112" s="163">
        <f t="shared" si="18"/>
        <v>214267.5</v>
      </c>
      <c r="H112" s="333">
        <f t="shared" si="13"/>
        <v>29037.89306508665</v>
      </c>
      <c r="I112" s="344">
        <f t="shared" si="14"/>
        <v>29037.89306508665</v>
      </c>
      <c r="J112" s="162">
        <f t="shared" si="9"/>
        <v>0</v>
      </c>
      <c r="K112" s="162"/>
      <c r="L112" s="335"/>
      <c r="M112" s="162">
        <f t="shared" si="10"/>
        <v>0</v>
      </c>
      <c r="N112" s="335"/>
      <c r="O112" s="162">
        <f t="shared" si="11"/>
        <v>0</v>
      </c>
      <c r="P112" s="162">
        <f t="shared" si="12"/>
        <v>0</v>
      </c>
    </row>
    <row r="113" spans="2:16">
      <c r="B113" s="9" t="str">
        <f t="shared" si="15"/>
        <v/>
      </c>
      <c r="C113" s="157">
        <f>IF(D93="","-",+C112+1)</f>
        <v>2032</v>
      </c>
      <c r="D113" s="158">
        <f>IF(F112+SUM(E$99:E112)=D$92,F112,D$92-SUM(E$99:E112))</f>
        <v>210755</v>
      </c>
      <c r="E113" s="164">
        <f t="shared" si="16"/>
        <v>7025</v>
      </c>
      <c r="F113" s="163">
        <f t="shared" si="17"/>
        <v>203730</v>
      </c>
      <c r="G113" s="163">
        <f t="shared" si="18"/>
        <v>207242.5</v>
      </c>
      <c r="H113" s="333">
        <f t="shared" si="13"/>
        <v>28316.17570812755</v>
      </c>
      <c r="I113" s="344">
        <f t="shared" si="14"/>
        <v>28316.17570812755</v>
      </c>
      <c r="J113" s="162">
        <f t="shared" si="9"/>
        <v>0</v>
      </c>
      <c r="K113" s="162"/>
      <c r="L113" s="335"/>
      <c r="M113" s="162">
        <f t="shared" si="10"/>
        <v>0</v>
      </c>
      <c r="N113" s="335"/>
      <c r="O113" s="162">
        <f t="shared" si="11"/>
        <v>0</v>
      </c>
      <c r="P113" s="162">
        <f t="shared" si="12"/>
        <v>0</v>
      </c>
    </row>
    <row r="114" spans="2:16">
      <c r="B114" s="9" t="str">
        <f t="shared" si="15"/>
        <v/>
      </c>
      <c r="C114" s="157">
        <f>IF(D93="","-",+C113+1)</f>
        <v>2033</v>
      </c>
      <c r="D114" s="158">
        <f>IF(F113+SUM(E$99:E113)=D$92,F113,D$92-SUM(E$99:E113))</f>
        <v>203730</v>
      </c>
      <c r="E114" s="164">
        <f t="shared" si="16"/>
        <v>7025</v>
      </c>
      <c r="F114" s="163">
        <f t="shared" si="17"/>
        <v>196705</v>
      </c>
      <c r="G114" s="163">
        <f t="shared" si="18"/>
        <v>200217.5</v>
      </c>
      <c r="H114" s="333">
        <f t="shared" si="13"/>
        <v>27594.45835116845</v>
      </c>
      <c r="I114" s="344">
        <f t="shared" si="14"/>
        <v>27594.45835116845</v>
      </c>
      <c r="J114" s="162">
        <f t="shared" si="9"/>
        <v>0</v>
      </c>
      <c r="K114" s="162"/>
      <c r="L114" s="335"/>
      <c r="M114" s="162">
        <f t="shared" si="10"/>
        <v>0</v>
      </c>
      <c r="N114" s="335"/>
      <c r="O114" s="162">
        <f t="shared" si="11"/>
        <v>0</v>
      </c>
      <c r="P114" s="162">
        <f t="shared" si="12"/>
        <v>0</v>
      </c>
    </row>
    <row r="115" spans="2:16">
      <c r="B115" s="9" t="str">
        <f t="shared" si="15"/>
        <v/>
      </c>
      <c r="C115" s="157">
        <f>IF(D93="","-",+C114+1)</f>
        <v>2034</v>
      </c>
      <c r="D115" s="158">
        <f>IF(F114+SUM(E$99:E114)=D$92,F114,D$92-SUM(E$99:E114))</f>
        <v>196705</v>
      </c>
      <c r="E115" s="164">
        <f t="shared" si="16"/>
        <v>7025</v>
      </c>
      <c r="F115" s="163">
        <f t="shared" si="17"/>
        <v>189680</v>
      </c>
      <c r="G115" s="163">
        <f t="shared" si="18"/>
        <v>193192.5</v>
      </c>
      <c r="H115" s="333">
        <f t="shared" si="13"/>
        <v>26872.740994209351</v>
      </c>
      <c r="I115" s="344">
        <f t="shared" si="14"/>
        <v>26872.740994209351</v>
      </c>
      <c r="J115" s="162">
        <f t="shared" si="9"/>
        <v>0</v>
      </c>
      <c r="K115" s="162"/>
      <c r="L115" s="335"/>
      <c r="M115" s="162">
        <f t="shared" si="10"/>
        <v>0</v>
      </c>
      <c r="N115" s="335"/>
      <c r="O115" s="162">
        <f t="shared" si="11"/>
        <v>0</v>
      </c>
      <c r="P115" s="162">
        <f t="shared" si="12"/>
        <v>0</v>
      </c>
    </row>
    <row r="116" spans="2:16">
      <c r="B116" s="9" t="str">
        <f t="shared" si="15"/>
        <v/>
      </c>
      <c r="C116" s="157">
        <f>IF(D93="","-",+C115+1)</f>
        <v>2035</v>
      </c>
      <c r="D116" s="158">
        <f>IF(F115+SUM(E$99:E115)=D$92,F115,D$92-SUM(E$99:E115))</f>
        <v>189680</v>
      </c>
      <c r="E116" s="164">
        <f t="shared" si="16"/>
        <v>7025</v>
      </c>
      <c r="F116" s="163">
        <f t="shared" si="17"/>
        <v>182655</v>
      </c>
      <c r="G116" s="163">
        <f t="shared" si="18"/>
        <v>186167.5</v>
      </c>
      <c r="H116" s="333">
        <f t="shared" si="13"/>
        <v>26151.023637250251</v>
      </c>
      <c r="I116" s="344">
        <f t="shared" si="14"/>
        <v>26151.023637250251</v>
      </c>
      <c r="J116" s="162">
        <f t="shared" si="9"/>
        <v>0</v>
      </c>
      <c r="K116" s="162"/>
      <c r="L116" s="335"/>
      <c r="M116" s="162">
        <f t="shared" si="10"/>
        <v>0</v>
      </c>
      <c r="N116" s="335"/>
      <c r="O116" s="162">
        <f t="shared" si="11"/>
        <v>0</v>
      </c>
      <c r="P116" s="162">
        <f t="shared" si="12"/>
        <v>0</v>
      </c>
    </row>
    <row r="117" spans="2:16">
      <c r="B117" s="9" t="str">
        <f t="shared" si="15"/>
        <v/>
      </c>
      <c r="C117" s="157">
        <f>IF(D93="","-",+C116+1)</f>
        <v>2036</v>
      </c>
      <c r="D117" s="158">
        <f>IF(F116+SUM(E$99:E116)=D$92,F116,D$92-SUM(E$99:E116))</f>
        <v>182655</v>
      </c>
      <c r="E117" s="164">
        <f t="shared" si="16"/>
        <v>7025</v>
      </c>
      <c r="F117" s="163">
        <f t="shared" si="17"/>
        <v>175630</v>
      </c>
      <c r="G117" s="163">
        <f t="shared" si="18"/>
        <v>179142.5</v>
      </c>
      <c r="H117" s="333">
        <f t="shared" si="13"/>
        <v>25429.306280291155</v>
      </c>
      <c r="I117" s="344">
        <f t="shared" si="14"/>
        <v>25429.306280291155</v>
      </c>
      <c r="J117" s="162">
        <f t="shared" si="9"/>
        <v>0</v>
      </c>
      <c r="K117" s="162"/>
      <c r="L117" s="335"/>
      <c r="M117" s="162">
        <f t="shared" si="10"/>
        <v>0</v>
      </c>
      <c r="N117" s="335"/>
      <c r="O117" s="162">
        <f t="shared" si="11"/>
        <v>0</v>
      </c>
      <c r="P117" s="162">
        <f t="shared" si="12"/>
        <v>0</v>
      </c>
    </row>
    <row r="118" spans="2:16">
      <c r="B118" s="9" t="str">
        <f t="shared" si="15"/>
        <v/>
      </c>
      <c r="C118" s="157">
        <f>IF(D93="","-",+C117+1)</f>
        <v>2037</v>
      </c>
      <c r="D118" s="158">
        <f>IF(F117+SUM(E$99:E117)=D$92,F117,D$92-SUM(E$99:E117))</f>
        <v>175630</v>
      </c>
      <c r="E118" s="164">
        <f t="shared" si="16"/>
        <v>7025</v>
      </c>
      <c r="F118" s="163">
        <f t="shared" si="17"/>
        <v>168605</v>
      </c>
      <c r="G118" s="163">
        <f t="shared" si="18"/>
        <v>172117.5</v>
      </c>
      <c r="H118" s="333">
        <f t="shared" si="13"/>
        <v>24707.588923332056</v>
      </c>
      <c r="I118" s="344">
        <f t="shared" si="14"/>
        <v>24707.588923332056</v>
      </c>
      <c r="J118" s="162">
        <f t="shared" si="9"/>
        <v>0</v>
      </c>
      <c r="K118" s="162"/>
      <c r="L118" s="335"/>
      <c r="M118" s="162">
        <f t="shared" si="10"/>
        <v>0</v>
      </c>
      <c r="N118" s="335"/>
      <c r="O118" s="162">
        <f t="shared" si="11"/>
        <v>0</v>
      </c>
      <c r="P118" s="162">
        <f t="shared" si="12"/>
        <v>0</v>
      </c>
    </row>
    <row r="119" spans="2:16">
      <c r="B119" s="9" t="str">
        <f t="shared" si="15"/>
        <v/>
      </c>
      <c r="C119" s="157">
        <f>IF(D93="","-",+C118+1)</f>
        <v>2038</v>
      </c>
      <c r="D119" s="158">
        <f>IF(F118+SUM(E$99:E118)=D$92,F118,D$92-SUM(E$99:E118))</f>
        <v>168605</v>
      </c>
      <c r="E119" s="164">
        <f t="shared" si="16"/>
        <v>7025</v>
      </c>
      <c r="F119" s="163">
        <f t="shared" si="17"/>
        <v>161580</v>
      </c>
      <c r="G119" s="163">
        <f t="shared" si="18"/>
        <v>165092.5</v>
      </c>
      <c r="H119" s="333">
        <f t="shared" si="13"/>
        <v>23985.871566372956</v>
      </c>
      <c r="I119" s="344">
        <f t="shared" si="14"/>
        <v>23985.871566372956</v>
      </c>
      <c r="J119" s="162">
        <f t="shared" si="9"/>
        <v>0</v>
      </c>
      <c r="K119" s="162"/>
      <c r="L119" s="335"/>
      <c r="M119" s="162">
        <f t="shared" si="10"/>
        <v>0</v>
      </c>
      <c r="N119" s="335"/>
      <c r="O119" s="162">
        <f t="shared" si="11"/>
        <v>0</v>
      </c>
      <c r="P119" s="162">
        <f t="shared" si="12"/>
        <v>0</v>
      </c>
    </row>
    <row r="120" spans="2:16">
      <c r="B120" s="9" t="str">
        <f t="shared" si="15"/>
        <v/>
      </c>
      <c r="C120" s="157">
        <f>IF(D93="","-",+C119+1)</f>
        <v>2039</v>
      </c>
      <c r="D120" s="158">
        <f>IF(F119+SUM(E$99:E119)=D$92,F119,D$92-SUM(E$99:E119))</f>
        <v>161580</v>
      </c>
      <c r="E120" s="164">
        <f t="shared" si="16"/>
        <v>7025</v>
      </c>
      <c r="F120" s="163">
        <f t="shared" si="17"/>
        <v>154555</v>
      </c>
      <c r="G120" s="163">
        <f t="shared" si="18"/>
        <v>158067.5</v>
      </c>
      <c r="H120" s="333">
        <f t="shared" si="13"/>
        <v>23264.154209413857</v>
      </c>
      <c r="I120" s="344">
        <f t="shared" si="14"/>
        <v>23264.154209413857</v>
      </c>
      <c r="J120" s="162">
        <f t="shared" si="9"/>
        <v>0</v>
      </c>
      <c r="K120" s="162"/>
      <c r="L120" s="335"/>
      <c r="M120" s="162">
        <f t="shared" si="10"/>
        <v>0</v>
      </c>
      <c r="N120" s="335"/>
      <c r="O120" s="162">
        <f t="shared" si="11"/>
        <v>0</v>
      </c>
      <c r="P120" s="162">
        <f t="shared" si="12"/>
        <v>0</v>
      </c>
    </row>
    <row r="121" spans="2:16">
      <c r="B121" s="9" t="str">
        <f t="shared" si="15"/>
        <v/>
      </c>
      <c r="C121" s="157">
        <f>IF(D93="","-",+C120+1)</f>
        <v>2040</v>
      </c>
      <c r="D121" s="158">
        <f>IF(F120+SUM(E$99:E120)=D$92,F120,D$92-SUM(E$99:E120))</f>
        <v>154555</v>
      </c>
      <c r="E121" s="164">
        <f t="shared" si="16"/>
        <v>7025</v>
      </c>
      <c r="F121" s="163">
        <f t="shared" si="17"/>
        <v>147530</v>
      </c>
      <c r="G121" s="163">
        <f t="shared" si="18"/>
        <v>151042.5</v>
      </c>
      <c r="H121" s="333">
        <f t="shared" si="13"/>
        <v>22542.436852454761</v>
      </c>
      <c r="I121" s="344">
        <f t="shared" si="14"/>
        <v>22542.436852454761</v>
      </c>
      <c r="J121" s="162">
        <f t="shared" si="9"/>
        <v>0</v>
      </c>
      <c r="K121" s="162"/>
      <c r="L121" s="335"/>
      <c r="M121" s="162">
        <f t="shared" si="10"/>
        <v>0</v>
      </c>
      <c r="N121" s="335"/>
      <c r="O121" s="162">
        <f t="shared" si="11"/>
        <v>0</v>
      </c>
      <c r="P121" s="162">
        <f t="shared" si="12"/>
        <v>0</v>
      </c>
    </row>
    <row r="122" spans="2:16">
      <c r="B122" s="9" t="str">
        <f t="shared" si="15"/>
        <v/>
      </c>
      <c r="C122" s="157">
        <f>IF(D93="","-",+C121+1)</f>
        <v>2041</v>
      </c>
      <c r="D122" s="158">
        <f>IF(F121+SUM(E$99:E121)=D$92,F121,D$92-SUM(E$99:E121))</f>
        <v>147530</v>
      </c>
      <c r="E122" s="164">
        <f t="shared" si="16"/>
        <v>7025</v>
      </c>
      <c r="F122" s="163">
        <f t="shared" si="17"/>
        <v>140505</v>
      </c>
      <c r="G122" s="163">
        <f t="shared" si="18"/>
        <v>144017.5</v>
      </c>
      <c r="H122" s="333">
        <f t="shared" si="13"/>
        <v>21820.719495495658</v>
      </c>
      <c r="I122" s="344">
        <f t="shared" si="14"/>
        <v>21820.719495495658</v>
      </c>
      <c r="J122" s="162">
        <f t="shared" si="9"/>
        <v>0</v>
      </c>
      <c r="K122" s="162"/>
      <c r="L122" s="335"/>
      <c r="M122" s="162">
        <f t="shared" si="10"/>
        <v>0</v>
      </c>
      <c r="N122" s="335"/>
      <c r="O122" s="162">
        <f t="shared" si="11"/>
        <v>0</v>
      </c>
      <c r="P122" s="162">
        <f t="shared" si="12"/>
        <v>0</v>
      </c>
    </row>
    <row r="123" spans="2:16">
      <c r="B123" s="9" t="str">
        <f t="shared" si="15"/>
        <v/>
      </c>
      <c r="C123" s="157">
        <f>IF(D93="","-",+C122+1)</f>
        <v>2042</v>
      </c>
      <c r="D123" s="158">
        <f>IF(F122+SUM(E$99:E122)=D$92,F122,D$92-SUM(E$99:E122))</f>
        <v>140505</v>
      </c>
      <c r="E123" s="164">
        <f t="shared" si="16"/>
        <v>7025</v>
      </c>
      <c r="F123" s="163">
        <f t="shared" si="17"/>
        <v>133480</v>
      </c>
      <c r="G123" s="163">
        <f t="shared" si="18"/>
        <v>136992.5</v>
      </c>
      <c r="H123" s="333">
        <f t="shared" si="13"/>
        <v>21099.002138536562</v>
      </c>
      <c r="I123" s="344">
        <f t="shared" si="14"/>
        <v>21099.002138536562</v>
      </c>
      <c r="J123" s="162">
        <f t="shared" si="9"/>
        <v>0</v>
      </c>
      <c r="K123" s="162"/>
      <c r="L123" s="335"/>
      <c r="M123" s="162">
        <f t="shared" si="10"/>
        <v>0</v>
      </c>
      <c r="N123" s="335"/>
      <c r="O123" s="162">
        <f t="shared" si="11"/>
        <v>0</v>
      </c>
      <c r="P123" s="162">
        <f t="shared" si="12"/>
        <v>0</v>
      </c>
    </row>
    <row r="124" spans="2:16">
      <c r="B124" s="9" t="str">
        <f t="shared" si="15"/>
        <v/>
      </c>
      <c r="C124" s="157">
        <f>IF(D93="","-",+C123+1)</f>
        <v>2043</v>
      </c>
      <c r="D124" s="158">
        <f>IF(F123+SUM(E$99:E123)=D$92,F123,D$92-SUM(E$99:E123))</f>
        <v>133480</v>
      </c>
      <c r="E124" s="164">
        <f t="shared" si="16"/>
        <v>7025</v>
      </c>
      <c r="F124" s="163">
        <f t="shared" si="17"/>
        <v>126455</v>
      </c>
      <c r="G124" s="163">
        <f t="shared" si="18"/>
        <v>129967.5</v>
      </c>
      <c r="H124" s="333">
        <f t="shared" si="13"/>
        <v>20377.284781577462</v>
      </c>
      <c r="I124" s="344">
        <f t="shared" si="14"/>
        <v>20377.284781577462</v>
      </c>
      <c r="J124" s="162">
        <f t="shared" si="9"/>
        <v>0</v>
      </c>
      <c r="K124" s="162"/>
      <c r="L124" s="335"/>
      <c r="M124" s="162">
        <f t="shared" si="10"/>
        <v>0</v>
      </c>
      <c r="N124" s="335"/>
      <c r="O124" s="162">
        <f t="shared" si="11"/>
        <v>0</v>
      </c>
      <c r="P124" s="162">
        <f t="shared" si="12"/>
        <v>0</v>
      </c>
    </row>
    <row r="125" spans="2:16">
      <c r="B125" s="9" t="str">
        <f t="shared" si="15"/>
        <v/>
      </c>
      <c r="C125" s="157">
        <f>IF(D93="","-",+C124+1)</f>
        <v>2044</v>
      </c>
      <c r="D125" s="158">
        <f>IF(F124+SUM(E$99:E124)=D$92,F124,D$92-SUM(E$99:E124))</f>
        <v>126455</v>
      </c>
      <c r="E125" s="164">
        <f t="shared" si="16"/>
        <v>7025</v>
      </c>
      <c r="F125" s="163">
        <f t="shared" si="17"/>
        <v>119430</v>
      </c>
      <c r="G125" s="163">
        <f t="shared" si="18"/>
        <v>122942.5</v>
      </c>
      <c r="H125" s="333">
        <f t="shared" si="13"/>
        <v>19655.567424618363</v>
      </c>
      <c r="I125" s="344">
        <f t="shared" si="14"/>
        <v>19655.567424618363</v>
      </c>
      <c r="J125" s="162">
        <f t="shared" si="9"/>
        <v>0</v>
      </c>
      <c r="K125" s="162"/>
      <c r="L125" s="335"/>
      <c r="M125" s="162">
        <f t="shared" si="10"/>
        <v>0</v>
      </c>
      <c r="N125" s="335"/>
      <c r="O125" s="162">
        <f t="shared" si="11"/>
        <v>0</v>
      </c>
      <c r="P125" s="162">
        <f t="shared" si="12"/>
        <v>0</v>
      </c>
    </row>
    <row r="126" spans="2:16">
      <c r="B126" s="9" t="str">
        <f t="shared" si="15"/>
        <v/>
      </c>
      <c r="C126" s="157">
        <f>IF(D93="","-",+C125+1)</f>
        <v>2045</v>
      </c>
      <c r="D126" s="158">
        <f>IF(F125+SUM(E$99:E125)=D$92,F125,D$92-SUM(E$99:E125))</f>
        <v>119430</v>
      </c>
      <c r="E126" s="164">
        <f t="shared" si="16"/>
        <v>7025</v>
      </c>
      <c r="F126" s="163">
        <f t="shared" si="17"/>
        <v>112405</v>
      </c>
      <c r="G126" s="163">
        <f t="shared" si="18"/>
        <v>115917.5</v>
      </c>
      <c r="H126" s="333">
        <f t="shared" si="13"/>
        <v>18933.850067659267</v>
      </c>
      <c r="I126" s="344">
        <f t="shared" si="14"/>
        <v>18933.850067659267</v>
      </c>
      <c r="J126" s="162">
        <f t="shared" si="9"/>
        <v>0</v>
      </c>
      <c r="K126" s="162"/>
      <c r="L126" s="335"/>
      <c r="M126" s="162">
        <f t="shared" si="10"/>
        <v>0</v>
      </c>
      <c r="N126" s="335"/>
      <c r="O126" s="162">
        <f t="shared" si="11"/>
        <v>0</v>
      </c>
      <c r="P126" s="162">
        <f t="shared" si="12"/>
        <v>0</v>
      </c>
    </row>
    <row r="127" spans="2:16">
      <c r="B127" s="9" t="str">
        <f t="shared" si="15"/>
        <v/>
      </c>
      <c r="C127" s="157">
        <f>IF(D93="","-",+C126+1)</f>
        <v>2046</v>
      </c>
      <c r="D127" s="158">
        <f>IF(F126+SUM(E$99:E126)=D$92,F126,D$92-SUM(E$99:E126))</f>
        <v>112405</v>
      </c>
      <c r="E127" s="164">
        <f t="shared" si="16"/>
        <v>7025</v>
      </c>
      <c r="F127" s="163">
        <f t="shared" si="17"/>
        <v>105380</v>
      </c>
      <c r="G127" s="163">
        <f t="shared" si="18"/>
        <v>108892.5</v>
      </c>
      <c r="H127" s="333">
        <f t="shared" si="13"/>
        <v>18212.132710700163</v>
      </c>
      <c r="I127" s="344">
        <f t="shared" si="14"/>
        <v>18212.132710700163</v>
      </c>
      <c r="J127" s="162">
        <f t="shared" si="9"/>
        <v>0</v>
      </c>
      <c r="K127" s="162"/>
      <c r="L127" s="335"/>
      <c r="M127" s="162">
        <f t="shared" si="10"/>
        <v>0</v>
      </c>
      <c r="N127" s="335"/>
      <c r="O127" s="162">
        <f t="shared" si="11"/>
        <v>0</v>
      </c>
      <c r="P127" s="162">
        <f t="shared" si="12"/>
        <v>0</v>
      </c>
    </row>
    <row r="128" spans="2:16">
      <c r="B128" s="9" t="str">
        <f t="shared" si="15"/>
        <v/>
      </c>
      <c r="C128" s="157">
        <f>IF(D93="","-",+C127+1)</f>
        <v>2047</v>
      </c>
      <c r="D128" s="158">
        <f>IF(F127+SUM(E$99:E127)=D$92,F127,D$92-SUM(E$99:E127))</f>
        <v>105380</v>
      </c>
      <c r="E128" s="164">
        <f t="shared" si="16"/>
        <v>7025</v>
      </c>
      <c r="F128" s="163">
        <f t="shared" si="17"/>
        <v>98355</v>
      </c>
      <c r="G128" s="163">
        <f t="shared" si="18"/>
        <v>101867.5</v>
      </c>
      <c r="H128" s="333">
        <f t="shared" si="13"/>
        <v>17490.415353741068</v>
      </c>
      <c r="I128" s="344">
        <f t="shared" si="14"/>
        <v>17490.415353741068</v>
      </c>
      <c r="J128" s="162">
        <f t="shared" si="9"/>
        <v>0</v>
      </c>
      <c r="K128" s="162"/>
      <c r="L128" s="335"/>
      <c r="M128" s="162">
        <f t="shared" si="10"/>
        <v>0</v>
      </c>
      <c r="N128" s="335"/>
      <c r="O128" s="162">
        <f t="shared" si="11"/>
        <v>0</v>
      </c>
      <c r="P128" s="162">
        <f t="shared" si="12"/>
        <v>0</v>
      </c>
    </row>
    <row r="129" spans="2:16">
      <c r="B129" s="9" t="str">
        <f t="shared" si="15"/>
        <v/>
      </c>
      <c r="C129" s="157">
        <f>IF(D93="","-",+C128+1)</f>
        <v>2048</v>
      </c>
      <c r="D129" s="158">
        <f>IF(F128+SUM(E$99:E128)=D$92,F128,D$92-SUM(E$99:E128))</f>
        <v>98355</v>
      </c>
      <c r="E129" s="164">
        <f t="shared" si="16"/>
        <v>7025</v>
      </c>
      <c r="F129" s="163">
        <f t="shared" si="17"/>
        <v>91330</v>
      </c>
      <c r="G129" s="163">
        <f t="shared" si="18"/>
        <v>94842.5</v>
      </c>
      <c r="H129" s="333">
        <f t="shared" si="13"/>
        <v>16768.697996781968</v>
      </c>
      <c r="I129" s="344">
        <f t="shared" si="14"/>
        <v>16768.697996781968</v>
      </c>
      <c r="J129" s="162">
        <f t="shared" si="9"/>
        <v>0</v>
      </c>
      <c r="K129" s="162"/>
      <c r="L129" s="335"/>
      <c r="M129" s="162">
        <f t="shared" si="10"/>
        <v>0</v>
      </c>
      <c r="N129" s="335"/>
      <c r="O129" s="162">
        <f t="shared" si="11"/>
        <v>0</v>
      </c>
      <c r="P129" s="162">
        <f t="shared" si="12"/>
        <v>0</v>
      </c>
    </row>
    <row r="130" spans="2:16">
      <c r="B130" s="9" t="str">
        <f t="shared" si="15"/>
        <v/>
      </c>
      <c r="C130" s="157">
        <f>IF(D93="","-",+C129+1)</f>
        <v>2049</v>
      </c>
      <c r="D130" s="158">
        <f>IF(F129+SUM(E$99:E129)=D$92,F129,D$92-SUM(E$99:E129))</f>
        <v>91330</v>
      </c>
      <c r="E130" s="164">
        <f t="shared" si="16"/>
        <v>7025</v>
      </c>
      <c r="F130" s="163">
        <f t="shared" si="17"/>
        <v>84305</v>
      </c>
      <c r="G130" s="163">
        <f t="shared" si="18"/>
        <v>87817.5</v>
      </c>
      <c r="H130" s="333">
        <f t="shared" si="13"/>
        <v>16046.98063982287</v>
      </c>
      <c r="I130" s="344">
        <f t="shared" si="14"/>
        <v>16046.98063982287</v>
      </c>
      <c r="J130" s="162">
        <f t="shared" si="9"/>
        <v>0</v>
      </c>
      <c r="K130" s="162"/>
      <c r="L130" s="335"/>
      <c r="M130" s="162">
        <f t="shared" si="10"/>
        <v>0</v>
      </c>
      <c r="N130" s="335"/>
      <c r="O130" s="162">
        <f t="shared" si="11"/>
        <v>0</v>
      </c>
      <c r="P130" s="162">
        <f t="shared" si="12"/>
        <v>0</v>
      </c>
    </row>
    <row r="131" spans="2:16">
      <c r="B131" s="9" t="str">
        <f t="shared" si="15"/>
        <v/>
      </c>
      <c r="C131" s="157">
        <f>IF(D93="","-",+C130+1)</f>
        <v>2050</v>
      </c>
      <c r="D131" s="158">
        <f>IF(F130+SUM(E$99:E130)=D$92,F130,D$92-SUM(E$99:E130))</f>
        <v>84305</v>
      </c>
      <c r="E131" s="164">
        <f t="shared" si="16"/>
        <v>7025</v>
      </c>
      <c r="F131" s="163">
        <f t="shared" si="17"/>
        <v>77280</v>
      </c>
      <c r="G131" s="163">
        <f t="shared" si="18"/>
        <v>80792.5</v>
      </c>
      <c r="H131" s="333">
        <f t="shared" si="13"/>
        <v>15325.263282863771</v>
      </c>
      <c r="I131" s="344">
        <f t="shared" si="14"/>
        <v>15325.263282863771</v>
      </c>
      <c r="J131" s="162">
        <f t="shared" ref="J131:J154" si="19">+I541-H541</f>
        <v>0</v>
      </c>
      <c r="K131" s="162"/>
      <c r="L131" s="335"/>
      <c r="M131" s="162">
        <f t="shared" ref="M131:M154" si="20">IF(L541&lt;&gt;0,+H541-L541,0)</f>
        <v>0</v>
      </c>
      <c r="N131" s="335"/>
      <c r="O131" s="162">
        <f t="shared" ref="O131:O154" si="21">IF(N541&lt;&gt;0,+I541-N541,0)</f>
        <v>0</v>
      </c>
      <c r="P131" s="162">
        <f t="shared" ref="P131:P154" si="22">+O541-M541</f>
        <v>0</v>
      </c>
    </row>
    <row r="132" spans="2:16">
      <c r="B132" s="9" t="str">
        <f t="shared" si="15"/>
        <v/>
      </c>
      <c r="C132" s="157">
        <f>IF(D93="","-",+C131+1)</f>
        <v>2051</v>
      </c>
      <c r="D132" s="158">
        <f>IF(F131+SUM(E$99:E131)=D$92,F131,D$92-SUM(E$99:E131))</f>
        <v>77280</v>
      </c>
      <c r="E132" s="164">
        <f t="shared" si="16"/>
        <v>7025</v>
      </c>
      <c r="F132" s="163">
        <f t="shared" si="17"/>
        <v>70255</v>
      </c>
      <c r="G132" s="163">
        <f t="shared" si="18"/>
        <v>73767.5</v>
      </c>
      <c r="H132" s="333">
        <f t="shared" si="13"/>
        <v>14603.545925904673</v>
      </c>
      <c r="I132" s="344">
        <f t="shared" si="14"/>
        <v>14603.545925904673</v>
      </c>
      <c r="J132" s="162">
        <f t="shared" si="19"/>
        <v>0</v>
      </c>
      <c r="K132" s="162"/>
      <c r="L132" s="335"/>
      <c r="M132" s="162">
        <f t="shared" si="20"/>
        <v>0</v>
      </c>
      <c r="N132" s="335"/>
      <c r="O132" s="162">
        <f t="shared" si="21"/>
        <v>0</v>
      </c>
      <c r="P132" s="162">
        <f t="shared" si="22"/>
        <v>0</v>
      </c>
    </row>
    <row r="133" spans="2:16">
      <c r="B133" s="9" t="str">
        <f t="shared" si="15"/>
        <v/>
      </c>
      <c r="C133" s="157">
        <f>IF(D93="","-",+C132+1)</f>
        <v>2052</v>
      </c>
      <c r="D133" s="158">
        <f>IF(F132+SUM(E$99:E132)=D$92,F132,D$92-SUM(E$99:E132))</f>
        <v>70255</v>
      </c>
      <c r="E133" s="164">
        <f t="shared" si="16"/>
        <v>7025</v>
      </c>
      <c r="F133" s="163">
        <f t="shared" si="17"/>
        <v>63230</v>
      </c>
      <c r="G133" s="163">
        <f t="shared" si="18"/>
        <v>66742.5</v>
      </c>
      <c r="H133" s="333">
        <f t="shared" si="13"/>
        <v>13881.828568945573</v>
      </c>
      <c r="I133" s="344">
        <f t="shared" si="14"/>
        <v>13881.828568945573</v>
      </c>
      <c r="J133" s="162">
        <f t="shared" si="19"/>
        <v>0</v>
      </c>
      <c r="K133" s="162"/>
      <c r="L133" s="335"/>
      <c r="M133" s="162">
        <f t="shared" si="20"/>
        <v>0</v>
      </c>
      <c r="N133" s="335"/>
      <c r="O133" s="162">
        <f t="shared" si="21"/>
        <v>0</v>
      </c>
      <c r="P133" s="162">
        <f t="shared" si="22"/>
        <v>0</v>
      </c>
    </row>
    <row r="134" spans="2:16">
      <c r="B134" s="9" t="str">
        <f t="shared" si="15"/>
        <v/>
      </c>
      <c r="C134" s="157">
        <f>IF(D93="","-",+C133+1)</f>
        <v>2053</v>
      </c>
      <c r="D134" s="158">
        <f>IF(F133+SUM(E$99:E133)=D$92,F133,D$92-SUM(E$99:E133))</f>
        <v>63230</v>
      </c>
      <c r="E134" s="164">
        <f t="shared" si="16"/>
        <v>7025</v>
      </c>
      <c r="F134" s="163">
        <f t="shared" si="17"/>
        <v>56205</v>
      </c>
      <c r="G134" s="163">
        <f t="shared" si="18"/>
        <v>59717.5</v>
      </c>
      <c r="H134" s="333">
        <f t="shared" si="13"/>
        <v>13160.111211986474</v>
      </c>
      <c r="I134" s="344">
        <f t="shared" si="14"/>
        <v>13160.111211986474</v>
      </c>
      <c r="J134" s="162">
        <f t="shared" si="19"/>
        <v>0</v>
      </c>
      <c r="K134" s="162"/>
      <c r="L134" s="335"/>
      <c r="M134" s="162">
        <f t="shared" si="20"/>
        <v>0</v>
      </c>
      <c r="N134" s="335"/>
      <c r="O134" s="162">
        <f t="shared" si="21"/>
        <v>0</v>
      </c>
      <c r="P134" s="162">
        <f t="shared" si="22"/>
        <v>0</v>
      </c>
    </row>
    <row r="135" spans="2:16">
      <c r="B135" s="9" t="str">
        <f t="shared" si="15"/>
        <v/>
      </c>
      <c r="C135" s="157">
        <f>IF(D93="","-",+C134+1)</f>
        <v>2054</v>
      </c>
      <c r="D135" s="158">
        <f>IF(F134+SUM(E$99:E134)=D$92,F134,D$92-SUM(E$99:E134))</f>
        <v>56205</v>
      </c>
      <c r="E135" s="164">
        <f t="shared" si="16"/>
        <v>7025</v>
      </c>
      <c r="F135" s="163">
        <f t="shared" si="17"/>
        <v>49180</v>
      </c>
      <c r="G135" s="163">
        <f t="shared" si="18"/>
        <v>52692.5</v>
      </c>
      <c r="H135" s="333">
        <f t="shared" si="13"/>
        <v>12438.393855027376</v>
      </c>
      <c r="I135" s="344">
        <f t="shared" si="14"/>
        <v>12438.393855027376</v>
      </c>
      <c r="J135" s="162">
        <f t="shared" si="19"/>
        <v>0</v>
      </c>
      <c r="K135" s="162"/>
      <c r="L135" s="335"/>
      <c r="M135" s="162">
        <f t="shared" si="20"/>
        <v>0</v>
      </c>
      <c r="N135" s="335"/>
      <c r="O135" s="162">
        <f t="shared" si="21"/>
        <v>0</v>
      </c>
      <c r="P135" s="162">
        <f t="shared" si="22"/>
        <v>0</v>
      </c>
    </row>
    <row r="136" spans="2:16">
      <c r="B136" s="9" t="str">
        <f t="shared" si="15"/>
        <v/>
      </c>
      <c r="C136" s="157">
        <f>IF(D93="","-",+C135+1)</f>
        <v>2055</v>
      </c>
      <c r="D136" s="158">
        <f>IF(F135+SUM(E$99:E135)=D$92,F135,D$92-SUM(E$99:E135))</f>
        <v>49180</v>
      </c>
      <c r="E136" s="164">
        <f t="shared" si="16"/>
        <v>7025</v>
      </c>
      <c r="F136" s="163">
        <f t="shared" si="17"/>
        <v>42155</v>
      </c>
      <c r="G136" s="163">
        <f t="shared" si="18"/>
        <v>45667.5</v>
      </c>
      <c r="H136" s="333">
        <f t="shared" si="13"/>
        <v>11716.676498068276</v>
      </c>
      <c r="I136" s="344">
        <f t="shared" si="14"/>
        <v>11716.676498068276</v>
      </c>
      <c r="J136" s="162">
        <f t="shared" si="19"/>
        <v>0</v>
      </c>
      <c r="K136" s="162"/>
      <c r="L136" s="335"/>
      <c r="M136" s="162">
        <f t="shared" si="20"/>
        <v>0</v>
      </c>
      <c r="N136" s="335"/>
      <c r="O136" s="162">
        <f t="shared" si="21"/>
        <v>0</v>
      </c>
      <c r="P136" s="162">
        <f t="shared" si="22"/>
        <v>0</v>
      </c>
    </row>
    <row r="137" spans="2:16">
      <c r="B137" s="9" t="str">
        <f t="shared" si="15"/>
        <v/>
      </c>
      <c r="C137" s="157">
        <f>IF(D93="","-",+C136+1)</f>
        <v>2056</v>
      </c>
      <c r="D137" s="158">
        <f>IF(F136+SUM(E$99:E136)=D$92,F136,D$92-SUM(E$99:E136))</f>
        <v>42155</v>
      </c>
      <c r="E137" s="164">
        <f t="shared" si="16"/>
        <v>7025</v>
      </c>
      <c r="F137" s="163">
        <f t="shared" si="17"/>
        <v>35130</v>
      </c>
      <c r="G137" s="163">
        <f t="shared" si="18"/>
        <v>38642.5</v>
      </c>
      <c r="H137" s="333">
        <f t="shared" si="13"/>
        <v>10994.959141109179</v>
      </c>
      <c r="I137" s="344">
        <f t="shared" si="14"/>
        <v>10994.959141109179</v>
      </c>
      <c r="J137" s="162">
        <f t="shared" si="19"/>
        <v>0</v>
      </c>
      <c r="K137" s="162"/>
      <c r="L137" s="335"/>
      <c r="M137" s="162">
        <f t="shared" si="20"/>
        <v>0</v>
      </c>
      <c r="N137" s="335"/>
      <c r="O137" s="162">
        <f t="shared" si="21"/>
        <v>0</v>
      </c>
      <c r="P137" s="162">
        <f t="shared" si="22"/>
        <v>0</v>
      </c>
    </row>
    <row r="138" spans="2:16">
      <c r="B138" s="9" t="str">
        <f t="shared" si="15"/>
        <v/>
      </c>
      <c r="C138" s="157">
        <f>IF(D93="","-",+C137+1)</f>
        <v>2057</v>
      </c>
      <c r="D138" s="158">
        <f>IF(F137+SUM(E$99:E137)=D$92,F137,D$92-SUM(E$99:E137))</f>
        <v>35130</v>
      </c>
      <c r="E138" s="164">
        <f t="shared" si="16"/>
        <v>7025</v>
      </c>
      <c r="F138" s="163">
        <f t="shared" si="17"/>
        <v>28105</v>
      </c>
      <c r="G138" s="163">
        <f t="shared" si="18"/>
        <v>31617.5</v>
      </c>
      <c r="H138" s="333">
        <f t="shared" si="13"/>
        <v>10273.241784150079</v>
      </c>
      <c r="I138" s="344">
        <f t="shared" si="14"/>
        <v>10273.241784150079</v>
      </c>
      <c r="J138" s="162">
        <f t="shared" si="19"/>
        <v>0</v>
      </c>
      <c r="K138" s="162"/>
      <c r="L138" s="335"/>
      <c r="M138" s="162">
        <f t="shared" si="20"/>
        <v>0</v>
      </c>
      <c r="N138" s="335"/>
      <c r="O138" s="162">
        <f t="shared" si="21"/>
        <v>0</v>
      </c>
      <c r="P138" s="162">
        <f t="shared" si="22"/>
        <v>0</v>
      </c>
    </row>
    <row r="139" spans="2:16">
      <c r="B139" s="9" t="str">
        <f t="shared" si="15"/>
        <v/>
      </c>
      <c r="C139" s="157">
        <f>IF(D93="","-",+C138+1)</f>
        <v>2058</v>
      </c>
      <c r="D139" s="158">
        <f>IF(F138+SUM(E$99:E138)=D$92,F138,D$92-SUM(E$99:E138))</f>
        <v>28105</v>
      </c>
      <c r="E139" s="164">
        <f t="shared" si="16"/>
        <v>7025</v>
      </c>
      <c r="F139" s="163">
        <f t="shared" si="17"/>
        <v>21080</v>
      </c>
      <c r="G139" s="163">
        <f t="shared" si="18"/>
        <v>24592.5</v>
      </c>
      <c r="H139" s="333">
        <f t="shared" si="13"/>
        <v>9551.5244271909796</v>
      </c>
      <c r="I139" s="344">
        <f t="shared" si="14"/>
        <v>9551.5244271909796</v>
      </c>
      <c r="J139" s="162">
        <f t="shared" si="19"/>
        <v>0</v>
      </c>
      <c r="K139" s="162"/>
      <c r="L139" s="335"/>
      <c r="M139" s="162">
        <f t="shared" si="20"/>
        <v>0</v>
      </c>
      <c r="N139" s="335"/>
      <c r="O139" s="162">
        <f t="shared" si="21"/>
        <v>0</v>
      </c>
      <c r="P139" s="162">
        <f t="shared" si="22"/>
        <v>0</v>
      </c>
    </row>
    <row r="140" spans="2:16">
      <c r="B140" s="9" t="str">
        <f t="shared" si="15"/>
        <v/>
      </c>
      <c r="C140" s="157">
        <f>IF(D93="","-",+C139+1)</f>
        <v>2059</v>
      </c>
      <c r="D140" s="158">
        <f>IF(F139+SUM(E$99:E139)=D$92,F139,D$92-SUM(E$99:E139))</f>
        <v>21080</v>
      </c>
      <c r="E140" s="164">
        <f t="shared" si="16"/>
        <v>7025</v>
      </c>
      <c r="F140" s="163">
        <f t="shared" si="17"/>
        <v>14055</v>
      </c>
      <c r="G140" s="163">
        <f t="shared" si="18"/>
        <v>17567.5</v>
      </c>
      <c r="H140" s="333">
        <f t="shared" si="13"/>
        <v>8829.8070702318819</v>
      </c>
      <c r="I140" s="344">
        <f t="shared" si="14"/>
        <v>8829.8070702318819</v>
      </c>
      <c r="J140" s="162">
        <f t="shared" si="19"/>
        <v>0</v>
      </c>
      <c r="K140" s="162"/>
      <c r="L140" s="335"/>
      <c r="M140" s="162">
        <f t="shared" si="20"/>
        <v>0</v>
      </c>
      <c r="N140" s="335"/>
      <c r="O140" s="162">
        <f t="shared" si="21"/>
        <v>0</v>
      </c>
      <c r="P140" s="162">
        <f t="shared" si="22"/>
        <v>0</v>
      </c>
    </row>
    <row r="141" spans="2:16">
      <c r="B141" s="9" t="str">
        <f t="shared" si="15"/>
        <v/>
      </c>
      <c r="C141" s="157">
        <f>IF(D93="","-",+C140+1)</f>
        <v>2060</v>
      </c>
      <c r="D141" s="158">
        <f>IF(F140+SUM(E$99:E140)=D$92,F140,D$92-SUM(E$99:E140))</f>
        <v>14055</v>
      </c>
      <c r="E141" s="164">
        <f t="shared" si="16"/>
        <v>7025</v>
      </c>
      <c r="F141" s="163">
        <f t="shared" si="17"/>
        <v>7030</v>
      </c>
      <c r="G141" s="163">
        <f t="shared" si="18"/>
        <v>10542.5</v>
      </c>
      <c r="H141" s="333">
        <f t="shared" si="13"/>
        <v>8108.0897132727823</v>
      </c>
      <c r="I141" s="344">
        <f t="shared" si="14"/>
        <v>8108.0897132727823</v>
      </c>
      <c r="J141" s="162">
        <f t="shared" si="19"/>
        <v>0</v>
      </c>
      <c r="K141" s="162"/>
      <c r="L141" s="335"/>
      <c r="M141" s="162">
        <f t="shared" si="20"/>
        <v>0</v>
      </c>
      <c r="N141" s="335"/>
      <c r="O141" s="162">
        <f t="shared" si="21"/>
        <v>0</v>
      </c>
      <c r="P141" s="162">
        <f t="shared" si="22"/>
        <v>0</v>
      </c>
    </row>
    <row r="142" spans="2:16">
      <c r="B142" s="9" t="str">
        <f t="shared" si="15"/>
        <v/>
      </c>
      <c r="C142" s="157">
        <f>IF(D93="","-",+C141+1)</f>
        <v>2061</v>
      </c>
      <c r="D142" s="158">
        <f>IF(F141+SUM(E$99:E141)=D$92,F141,D$92-SUM(E$99:E141))</f>
        <v>7030</v>
      </c>
      <c r="E142" s="164">
        <f t="shared" si="16"/>
        <v>7025</v>
      </c>
      <c r="F142" s="163">
        <f t="shared" si="17"/>
        <v>5</v>
      </c>
      <c r="G142" s="163">
        <f t="shared" si="18"/>
        <v>3517.5</v>
      </c>
      <c r="H142" s="333">
        <f t="shared" si="13"/>
        <v>7386.3723563136837</v>
      </c>
      <c r="I142" s="344">
        <f t="shared" si="14"/>
        <v>7386.3723563136837</v>
      </c>
      <c r="J142" s="162">
        <f t="shared" si="19"/>
        <v>0</v>
      </c>
      <c r="K142" s="162"/>
      <c r="L142" s="335"/>
      <c r="M142" s="162">
        <f t="shared" si="20"/>
        <v>0</v>
      </c>
      <c r="N142" s="335"/>
      <c r="O142" s="162">
        <f t="shared" si="21"/>
        <v>0</v>
      </c>
      <c r="P142" s="162">
        <f t="shared" si="22"/>
        <v>0</v>
      </c>
    </row>
    <row r="143" spans="2:16">
      <c r="B143" s="9" t="str">
        <f t="shared" si="15"/>
        <v/>
      </c>
      <c r="C143" s="157">
        <f>IF(D93="","-",+C142+1)</f>
        <v>2062</v>
      </c>
      <c r="D143" s="158">
        <f>IF(F142+SUM(E$99:E142)=D$92,F142,D$92-SUM(E$99:E142))</f>
        <v>5</v>
      </c>
      <c r="E143" s="164">
        <f t="shared" si="16"/>
        <v>5</v>
      </c>
      <c r="F143" s="163">
        <f t="shared" si="17"/>
        <v>0</v>
      </c>
      <c r="G143" s="163">
        <f t="shared" si="18"/>
        <v>2.5</v>
      </c>
      <c r="H143" s="333">
        <f t="shared" si="13"/>
        <v>5.2568389170672951</v>
      </c>
      <c r="I143" s="344">
        <f t="shared" si="14"/>
        <v>5.2568389170672951</v>
      </c>
      <c r="J143" s="162">
        <f t="shared" si="19"/>
        <v>0</v>
      </c>
      <c r="K143" s="162"/>
      <c r="L143" s="335"/>
      <c r="M143" s="162">
        <f t="shared" si="20"/>
        <v>0</v>
      </c>
      <c r="N143" s="335"/>
      <c r="O143" s="162">
        <f t="shared" si="21"/>
        <v>0</v>
      </c>
      <c r="P143" s="162">
        <f t="shared" si="22"/>
        <v>0</v>
      </c>
    </row>
    <row r="144" spans="2:16">
      <c r="B144" s="9" t="str">
        <f t="shared" si="15"/>
        <v/>
      </c>
      <c r="C144" s="157">
        <f>IF(D93="","-",+C143+1)</f>
        <v>2063</v>
      </c>
      <c r="D144" s="158">
        <f>IF(F143+SUM(E$99:E143)=D$92,F143,D$92-SUM(E$99:E143))</f>
        <v>0</v>
      </c>
      <c r="E144" s="164">
        <f t="shared" si="16"/>
        <v>0</v>
      </c>
      <c r="F144" s="163">
        <f t="shared" si="17"/>
        <v>0</v>
      </c>
      <c r="G144" s="163">
        <f t="shared" si="18"/>
        <v>0</v>
      </c>
      <c r="H144" s="333">
        <f t="shared" si="13"/>
        <v>0</v>
      </c>
      <c r="I144" s="344">
        <f t="shared" si="14"/>
        <v>0</v>
      </c>
      <c r="J144" s="162">
        <f t="shared" si="19"/>
        <v>0</v>
      </c>
      <c r="K144" s="162"/>
      <c r="L144" s="335"/>
      <c r="M144" s="162">
        <f t="shared" si="20"/>
        <v>0</v>
      </c>
      <c r="N144" s="335"/>
      <c r="O144" s="162">
        <f t="shared" si="21"/>
        <v>0</v>
      </c>
      <c r="P144" s="162">
        <f t="shared" si="22"/>
        <v>0</v>
      </c>
    </row>
    <row r="145" spans="2:16">
      <c r="B145" s="9" t="str">
        <f t="shared" si="15"/>
        <v/>
      </c>
      <c r="C145" s="157">
        <f>IF(D93="","-",+C144+1)</f>
        <v>2064</v>
      </c>
      <c r="D145" s="158">
        <f>IF(F144+SUM(E$99:E144)=D$92,F144,D$92-SUM(E$99:E144))</f>
        <v>0</v>
      </c>
      <c r="E145" s="164">
        <f t="shared" si="16"/>
        <v>0</v>
      </c>
      <c r="F145" s="163">
        <f t="shared" si="17"/>
        <v>0</v>
      </c>
      <c r="G145" s="163">
        <f t="shared" si="18"/>
        <v>0</v>
      </c>
      <c r="H145" s="333">
        <f t="shared" si="13"/>
        <v>0</v>
      </c>
      <c r="I145" s="344">
        <f t="shared" si="14"/>
        <v>0</v>
      </c>
      <c r="J145" s="162">
        <f t="shared" si="19"/>
        <v>0</v>
      </c>
      <c r="K145" s="162"/>
      <c r="L145" s="335"/>
      <c r="M145" s="162">
        <f t="shared" si="20"/>
        <v>0</v>
      </c>
      <c r="N145" s="335"/>
      <c r="O145" s="162">
        <f t="shared" si="21"/>
        <v>0</v>
      </c>
      <c r="P145" s="162">
        <f t="shared" si="22"/>
        <v>0</v>
      </c>
    </row>
    <row r="146" spans="2:16">
      <c r="B146" s="9" t="str">
        <f t="shared" si="15"/>
        <v/>
      </c>
      <c r="C146" s="157">
        <f>IF(D93="","-",+C145+1)</f>
        <v>2065</v>
      </c>
      <c r="D146" s="158">
        <f>IF(F145+SUM(E$99:E145)=D$92,F145,D$92-SUM(E$99:E145))</f>
        <v>0</v>
      </c>
      <c r="E146" s="164">
        <f t="shared" si="16"/>
        <v>0</v>
      </c>
      <c r="F146" s="163">
        <f t="shared" si="17"/>
        <v>0</v>
      </c>
      <c r="G146" s="163">
        <f t="shared" si="18"/>
        <v>0</v>
      </c>
      <c r="H146" s="333">
        <f t="shared" si="13"/>
        <v>0</v>
      </c>
      <c r="I146" s="344">
        <f t="shared" si="14"/>
        <v>0</v>
      </c>
      <c r="J146" s="162">
        <f t="shared" si="19"/>
        <v>0</v>
      </c>
      <c r="K146" s="162"/>
      <c r="L146" s="335"/>
      <c r="M146" s="162">
        <f t="shared" si="20"/>
        <v>0</v>
      </c>
      <c r="N146" s="335"/>
      <c r="O146" s="162">
        <f t="shared" si="21"/>
        <v>0</v>
      </c>
      <c r="P146" s="162">
        <f t="shared" si="22"/>
        <v>0</v>
      </c>
    </row>
    <row r="147" spans="2:16">
      <c r="B147" s="9" t="str">
        <f t="shared" si="15"/>
        <v/>
      </c>
      <c r="C147" s="157">
        <f>IF(D93="","-",+C146+1)</f>
        <v>2066</v>
      </c>
      <c r="D147" s="158">
        <f>IF(F146+SUM(E$99:E146)=D$92,F146,D$92-SUM(E$99:E146))</f>
        <v>0</v>
      </c>
      <c r="E147" s="164">
        <f t="shared" si="16"/>
        <v>0</v>
      </c>
      <c r="F147" s="163">
        <f t="shared" si="17"/>
        <v>0</v>
      </c>
      <c r="G147" s="163">
        <f t="shared" si="18"/>
        <v>0</v>
      </c>
      <c r="H147" s="333">
        <f t="shared" si="13"/>
        <v>0</v>
      </c>
      <c r="I147" s="344">
        <f t="shared" si="14"/>
        <v>0</v>
      </c>
      <c r="J147" s="162">
        <f t="shared" si="19"/>
        <v>0</v>
      </c>
      <c r="K147" s="162"/>
      <c r="L147" s="335"/>
      <c r="M147" s="162">
        <f t="shared" si="20"/>
        <v>0</v>
      </c>
      <c r="N147" s="335"/>
      <c r="O147" s="162">
        <f t="shared" si="21"/>
        <v>0</v>
      </c>
      <c r="P147" s="162">
        <f t="shared" si="22"/>
        <v>0</v>
      </c>
    </row>
    <row r="148" spans="2:16">
      <c r="B148" s="9" t="str">
        <f t="shared" si="15"/>
        <v/>
      </c>
      <c r="C148" s="157">
        <f>IF(D93="","-",+C147+1)</f>
        <v>2067</v>
      </c>
      <c r="D148" s="158">
        <f>IF(F147+SUM(E$99:E147)=D$92,F147,D$92-SUM(E$99:E147))</f>
        <v>0</v>
      </c>
      <c r="E148" s="164">
        <f t="shared" si="16"/>
        <v>0</v>
      </c>
      <c r="F148" s="163">
        <f t="shared" si="17"/>
        <v>0</v>
      </c>
      <c r="G148" s="163">
        <f t="shared" si="18"/>
        <v>0</v>
      </c>
      <c r="H148" s="333">
        <f t="shared" si="13"/>
        <v>0</v>
      </c>
      <c r="I148" s="344">
        <f t="shared" si="14"/>
        <v>0</v>
      </c>
      <c r="J148" s="162">
        <f t="shared" si="19"/>
        <v>0</v>
      </c>
      <c r="K148" s="162"/>
      <c r="L148" s="335"/>
      <c r="M148" s="162">
        <f t="shared" si="20"/>
        <v>0</v>
      </c>
      <c r="N148" s="335"/>
      <c r="O148" s="162">
        <f t="shared" si="21"/>
        <v>0</v>
      </c>
      <c r="P148" s="162">
        <f t="shared" si="22"/>
        <v>0</v>
      </c>
    </row>
    <row r="149" spans="2:16">
      <c r="B149" s="9" t="str">
        <f t="shared" si="15"/>
        <v/>
      </c>
      <c r="C149" s="157">
        <f>IF(D93="","-",+C148+1)</f>
        <v>2068</v>
      </c>
      <c r="D149" s="158">
        <f>IF(F148+SUM(E$99:E148)=D$92,F148,D$92-SUM(E$99:E148))</f>
        <v>0</v>
      </c>
      <c r="E149" s="164">
        <f t="shared" si="16"/>
        <v>0</v>
      </c>
      <c r="F149" s="163">
        <f t="shared" si="17"/>
        <v>0</v>
      </c>
      <c r="G149" s="163">
        <f t="shared" si="18"/>
        <v>0</v>
      </c>
      <c r="H149" s="333">
        <f t="shared" si="13"/>
        <v>0</v>
      </c>
      <c r="I149" s="344">
        <f t="shared" si="14"/>
        <v>0</v>
      </c>
      <c r="J149" s="162">
        <f t="shared" si="19"/>
        <v>0</v>
      </c>
      <c r="K149" s="162"/>
      <c r="L149" s="335"/>
      <c r="M149" s="162">
        <f t="shared" si="20"/>
        <v>0</v>
      </c>
      <c r="N149" s="335"/>
      <c r="O149" s="162">
        <f t="shared" si="21"/>
        <v>0</v>
      </c>
      <c r="P149" s="162">
        <f t="shared" si="22"/>
        <v>0</v>
      </c>
    </row>
    <row r="150" spans="2:16">
      <c r="B150" s="9" t="str">
        <f t="shared" si="15"/>
        <v/>
      </c>
      <c r="C150" s="157">
        <f>IF(D93="","-",+C149+1)</f>
        <v>2069</v>
      </c>
      <c r="D150" s="158">
        <f>IF(F149+SUM(E$99:E149)=D$92,F149,D$92-SUM(E$99:E149))</f>
        <v>0</v>
      </c>
      <c r="E150" s="164">
        <f t="shared" si="16"/>
        <v>0</v>
      </c>
      <c r="F150" s="163">
        <f t="shared" si="17"/>
        <v>0</v>
      </c>
      <c r="G150" s="163">
        <f t="shared" si="18"/>
        <v>0</v>
      </c>
      <c r="H150" s="333">
        <f t="shared" si="13"/>
        <v>0</v>
      </c>
      <c r="I150" s="344">
        <f t="shared" si="14"/>
        <v>0</v>
      </c>
      <c r="J150" s="162">
        <f t="shared" si="19"/>
        <v>0</v>
      </c>
      <c r="K150" s="162"/>
      <c r="L150" s="335"/>
      <c r="M150" s="162">
        <f t="shared" si="20"/>
        <v>0</v>
      </c>
      <c r="N150" s="335"/>
      <c r="O150" s="162">
        <f t="shared" si="21"/>
        <v>0</v>
      </c>
      <c r="P150" s="162">
        <f t="shared" si="22"/>
        <v>0</v>
      </c>
    </row>
    <row r="151" spans="2:16">
      <c r="B151" s="9" t="str">
        <f t="shared" si="15"/>
        <v/>
      </c>
      <c r="C151" s="157">
        <f>IF(D93="","-",+C150+1)</f>
        <v>2070</v>
      </c>
      <c r="D151" s="158">
        <f>IF(F150+SUM(E$99:E150)=D$92,F150,D$92-SUM(E$99:E150))</f>
        <v>0</v>
      </c>
      <c r="E151" s="164">
        <f t="shared" si="16"/>
        <v>0</v>
      </c>
      <c r="F151" s="163">
        <f t="shared" si="17"/>
        <v>0</v>
      </c>
      <c r="G151" s="163">
        <f t="shared" si="18"/>
        <v>0</v>
      </c>
      <c r="H151" s="333">
        <f t="shared" si="13"/>
        <v>0</v>
      </c>
      <c r="I151" s="344">
        <f t="shared" si="14"/>
        <v>0</v>
      </c>
      <c r="J151" s="162">
        <f t="shared" si="19"/>
        <v>0</v>
      </c>
      <c r="K151" s="162"/>
      <c r="L151" s="335"/>
      <c r="M151" s="162">
        <f t="shared" si="20"/>
        <v>0</v>
      </c>
      <c r="N151" s="335"/>
      <c r="O151" s="162">
        <f t="shared" si="21"/>
        <v>0</v>
      </c>
      <c r="P151" s="162">
        <f t="shared" si="22"/>
        <v>0</v>
      </c>
    </row>
    <row r="152" spans="2:16">
      <c r="B152" s="9" t="str">
        <f t="shared" si="15"/>
        <v/>
      </c>
      <c r="C152" s="157">
        <f>IF(D93="","-",+C151+1)</f>
        <v>2071</v>
      </c>
      <c r="D152" s="158">
        <f>IF(F151+SUM(E$99:E151)=D$92,F151,D$92-SUM(E$99:E151))</f>
        <v>0</v>
      </c>
      <c r="E152" s="164">
        <f t="shared" si="16"/>
        <v>0</v>
      </c>
      <c r="F152" s="163">
        <f t="shared" si="17"/>
        <v>0</v>
      </c>
      <c r="G152" s="163">
        <f t="shared" si="18"/>
        <v>0</v>
      </c>
      <c r="H152" s="333">
        <f t="shared" si="13"/>
        <v>0</v>
      </c>
      <c r="I152" s="344">
        <f t="shared" si="14"/>
        <v>0</v>
      </c>
      <c r="J152" s="162">
        <f t="shared" si="19"/>
        <v>0</v>
      </c>
      <c r="K152" s="162"/>
      <c r="L152" s="335"/>
      <c r="M152" s="162">
        <f t="shared" si="20"/>
        <v>0</v>
      </c>
      <c r="N152" s="335"/>
      <c r="O152" s="162">
        <f t="shared" si="21"/>
        <v>0</v>
      </c>
      <c r="P152" s="162">
        <f t="shared" si="22"/>
        <v>0</v>
      </c>
    </row>
    <row r="153" spans="2:16">
      <c r="B153" s="9" t="str">
        <f t="shared" si="15"/>
        <v/>
      </c>
      <c r="C153" s="157">
        <f>IF(D93="","-",+C152+1)</f>
        <v>2072</v>
      </c>
      <c r="D153" s="158">
        <f>IF(F152+SUM(E$99:E152)=D$92,F152,D$92-SUM(E$99:E152))</f>
        <v>0</v>
      </c>
      <c r="E153" s="164">
        <f t="shared" si="16"/>
        <v>0</v>
      </c>
      <c r="F153" s="163">
        <f t="shared" si="17"/>
        <v>0</v>
      </c>
      <c r="G153" s="163">
        <f t="shared" si="18"/>
        <v>0</v>
      </c>
      <c r="H153" s="333">
        <f t="shared" si="13"/>
        <v>0</v>
      </c>
      <c r="I153" s="344">
        <f t="shared" si="14"/>
        <v>0</v>
      </c>
      <c r="J153" s="162">
        <f t="shared" si="19"/>
        <v>0</v>
      </c>
      <c r="K153" s="162"/>
      <c r="L153" s="335"/>
      <c r="M153" s="162">
        <f t="shared" si="20"/>
        <v>0</v>
      </c>
      <c r="N153" s="335"/>
      <c r="O153" s="162">
        <f t="shared" si="21"/>
        <v>0</v>
      </c>
      <c r="P153" s="162">
        <f t="shared" si="22"/>
        <v>0</v>
      </c>
    </row>
    <row r="154" spans="2:16" ht="13.5" thickBot="1">
      <c r="B154" s="9" t="str">
        <f t="shared" si="15"/>
        <v/>
      </c>
      <c r="C154" s="168">
        <f>IF(D93="","-",+C153+1)</f>
        <v>2073</v>
      </c>
      <c r="D154" s="170">
        <f>IF(F153+SUM(E$99:E153)=D$92,F153,D$92-SUM(E$99:E153))</f>
        <v>0</v>
      </c>
      <c r="E154" s="170">
        <f t="shared" si="16"/>
        <v>0</v>
      </c>
      <c r="F154" s="169">
        <f t="shared" si="17"/>
        <v>0</v>
      </c>
      <c r="G154" s="169">
        <f t="shared" si="18"/>
        <v>0</v>
      </c>
      <c r="H154" s="345">
        <f t="shared" si="13"/>
        <v>0</v>
      </c>
      <c r="I154" s="346">
        <f t="shared" si="14"/>
        <v>0</v>
      </c>
      <c r="J154" s="173">
        <f t="shared" si="19"/>
        <v>0</v>
      </c>
      <c r="K154" s="162"/>
      <c r="L154" s="336"/>
      <c r="M154" s="173">
        <f t="shared" si="20"/>
        <v>0</v>
      </c>
      <c r="N154" s="336"/>
      <c r="O154" s="173">
        <f t="shared" si="21"/>
        <v>0</v>
      </c>
      <c r="P154" s="173">
        <f t="shared" si="22"/>
        <v>0</v>
      </c>
    </row>
    <row r="155" spans="2:16">
      <c r="C155" s="158" t="s">
        <v>72</v>
      </c>
      <c r="D155" s="115"/>
      <c r="E155" s="115">
        <f>SUM(E99:E154)</f>
        <v>302080</v>
      </c>
      <c r="F155" s="115"/>
      <c r="G155" s="115"/>
      <c r="H155" s="115">
        <f>SUM(H99:H154)</f>
        <v>984847.22150800936</v>
      </c>
      <c r="I155" s="115">
        <f>SUM(I99:I154)</f>
        <v>984847.22150800936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conditionalFormatting sqref="C17:C72">
    <cfRule type="cellIs" dxfId="11" priority="1" stopIfTrue="1" operator="equal">
      <formula>$I$10</formula>
    </cfRule>
  </conditionalFormatting>
  <conditionalFormatting sqref="C99:C154">
    <cfRule type="cellIs" dxfId="10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topLeftCell="A76" zoomScale="78" zoomScaleNormal="78" workbookViewId="0">
      <selection activeCell="G91" sqref="G91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"&amp;RIGHT(MID(CELL("filename",$A$1),FIND("]",CELL("filename",$A$1))+1,256),2)&amp;" of "&amp;COUNT('P.001:P.xyz - blank'!$P$3)-1</f>
        <v>PSO Project 25 of 28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275</v>
      </c>
      <c r="L5" s="119"/>
      <c r="M5" s="120"/>
      <c r="N5" s="121">
        <f>VLOOKUP(I10,C17:I72,5)</f>
        <v>171175.11640159666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276</v>
      </c>
      <c r="L6" s="125"/>
      <c r="M6" s="4"/>
      <c r="N6" s="126">
        <f>VLOOKUP(I10,C17:I72,6)</f>
        <v>171175.11640159666</v>
      </c>
      <c r="O6" s="1"/>
      <c r="P6" s="1"/>
    </row>
    <row r="7" spans="1:16" ht="13.5" thickBot="1">
      <c r="C7" s="127" t="s">
        <v>41</v>
      </c>
      <c r="D7" s="227" t="s">
        <v>288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/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43</v>
      </c>
      <c r="D9" s="229"/>
      <c r="E9" s="427" t="s">
        <v>298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1344939</v>
      </c>
      <c r="E10" s="64" t="s">
        <v>46</v>
      </c>
      <c r="F10" s="137"/>
      <c r="G10" s="139"/>
      <c r="H10" s="139"/>
      <c r="I10" s="140">
        <f>+PSO.WS.F.BPU.ATRR.Projected!L19</f>
        <v>2020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2018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5</v>
      </c>
      <c r="E12" s="141" t="s">
        <v>51</v>
      </c>
      <c r="F12" s="139"/>
      <c r="G12" s="7"/>
      <c r="H12" s="7"/>
      <c r="I12" s="145">
        <f>PSO.WS.F.BPU.ATRR.Projected!$F$81</f>
        <v>0.10800477690995318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42</v>
      </c>
      <c r="E13" s="141" t="s">
        <v>54</v>
      </c>
      <c r="F13" s="139"/>
      <c r="G13" s="7"/>
      <c r="H13" s="7"/>
      <c r="I13" s="145">
        <f>IF(G5="",I12,PSO.WS.F.BPU.ATRR.Projected!$F$80)</f>
        <v>0.10800477690995318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32022.357142857141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277</v>
      </c>
      <c r="H15" s="362" t="s">
        <v>278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2018</v>
      </c>
      <c r="D17" s="464">
        <v>0</v>
      </c>
      <c r="E17" s="467">
        <v>13511.111111111109</v>
      </c>
      <c r="F17" s="465">
        <v>1202488.888888889</v>
      </c>
      <c r="G17" s="467">
        <v>94880.774589956171</v>
      </c>
      <c r="H17" s="466">
        <v>94880.774589956171</v>
      </c>
      <c r="I17" s="160">
        <f t="shared" ref="I17:I72" si="0">H17-G17</f>
        <v>0</v>
      </c>
      <c r="J17" s="160"/>
      <c r="K17" s="337">
        <f>+G17</f>
        <v>94880.774589956171</v>
      </c>
      <c r="L17" s="161">
        <f t="shared" ref="L17:L72" si="1">IF(K17&lt;&gt;0,+G17-K17,0)</f>
        <v>0</v>
      </c>
      <c r="M17" s="337">
        <f>+H17</f>
        <v>94880.774589956171</v>
      </c>
      <c r="N17" s="161">
        <f t="shared" ref="N17:N72" si="2">IF(M17&lt;&gt;0,+H17-M17,0)</f>
        <v>0</v>
      </c>
      <c r="O17" s="162">
        <f t="shared" ref="O17:O72" si="3">+N17-L17</f>
        <v>0</v>
      </c>
      <c r="P17" s="4"/>
    </row>
    <row r="18" spans="2:16">
      <c r="B18" s="9" t="str">
        <f>IF(D18=F17,"","IU")</f>
        <v/>
      </c>
      <c r="C18" s="157">
        <f>IF(D11="","-",+C17+1)</f>
        <v>2019</v>
      </c>
      <c r="D18" s="419">
        <v>1202488.888888889</v>
      </c>
      <c r="E18" s="420">
        <v>27022.222222222223</v>
      </c>
      <c r="F18" s="419">
        <v>1175466.6666666667</v>
      </c>
      <c r="G18" s="420">
        <v>187933.0174163428</v>
      </c>
      <c r="H18" s="424">
        <v>187933.0174163428</v>
      </c>
      <c r="I18" s="160">
        <f t="shared" si="0"/>
        <v>0</v>
      </c>
      <c r="J18" s="160"/>
      <c r="K18" s="338">
        <f>G18</f>
        <v>187933.0174163428</v>
      </c>
      <c r="L18" s="175">
        <f>IF(K18&lt;&gt;0,+G18-K18,0)</f>
        <v>0</v>
      </c>
      <c r="M18" s="338">
        <f>H18</f>
        <v>187933.0174163428</v>
      </c>
      <c r="N18" s="160">
        <f>IF(M18&lt;&gt;0,+H18-M18,0)</f>
        <v>0</v>
      </c>
      <c r="O18" s="162">
        <f>+N18-L18</f>
        <v>0</v>
      </c>
      <c r="P18" s="4"/>
    </row>
    <row r="19" spans="2:16">
      <c r="B19" s="9" t="str">
        <f>IF(D19=F18,"","IU")</f>
        <v>IU</v>
      </c>
      <c r="C19" s="157">
        <f>IF(D11="","-",+C18+1)</f>
        <v>2020</v>
      </c>
      <c r="D19" s="166">
        <f>IF(F18+SUM(E$17:E18)=D$10,F18,D$10-SUM(E$17:E18))</f>
        <v>1304405.6666666667</v>
      </c>
      <c r="E19" s="164">
        <f t="shared" ref="E19:E72" si="4">IF(+I$14&lt;F18,I$14,D19)</f>
        <v>32022.357142857141</v>
      </c>
      <c r="F19" s="163">
        <f t="shared" ref="F19:F72" si="5">+D19-E19</f>
        <v>1272383.3095238097</v>
      </c>
      <c r="G19" s="165">
        <f t="shared" ref="G19:G72" si="6">(D19+F19)/2*I$12+E19</f>
        <v>171175.11640159666</v>
      </c>
      <c r="H19" s="147">
        <f t="shared" ref="H19:H72" si="7">+(D19+F19)/2*I$13+E19</f>
        <v>171175.11640159666</v>
      </c>
      <c r="I19" s="160">
        <f t="shared" si="0"/>
        <v>0</v>
      </c>
      <c r="J19" s="160"/>
      <c r="K19" s="335"/>
      <c r="L19" s="162">
        <f t="shared" si="1"/>
        <v>0</v>
      </c>
      <c r="M19" s="335"/>
      <c r="N19" s="162">
        <f t="shared" si="2"/>
        <v>0</v>
      </c>
      <c r="O19" s="162">
        <f t="shared" si="3"/>
        <v>0</v>
      </c>
      <c r="P19" s="4"/>
    </row>
    <row r="20" spans="2:16">
      <c r="B20" s="9" t="str">
        <f t="shared" ref="B20:B72" si="8">IF(D20=F19,"","IU")</f>
        <v/>
      </c>
      <c r="C20" s="157">
        <f>IF(D11="","-",+C19+1)</f>
        <v>2021</v>
      </c>
      <c r="D20" s="166">
        <f>IF(F19+SUM(E$17:E19)=D$10,F19,D$10-SUM(E$17:E19))</f>
        <v>1272383.3095238097</v>
      </c>
      <c r="E20" s="164">
        <f t="shared" si="4"/>
        <v>32022.357142857141</v>
      </c>
      <c r="F20" s="163">
        <f t="shared" si="5"/>
        <v>1240360.9523809527</v>
      </c>
      <c r="G20" s="165">
        <f t="shared" si="6"/>
        <v>167716.54886225154</v>
      </c>
      <c r="H20" s="147">
        <f t="shared" si="7"/>
        <v>167716.54886225154</v>
      </c>
      <c r="I20" s="160">
        <f t="shared" si="0"/>
        <v>0</v>
      </c>
      <c r="J20" s="160"/>
      <c r="K20" s="335"/>
      <c r="L20" s="162">
        <f t="shared" si="1"/>
        <v>0</v>
      </c>
      <c r="M20" s="335"/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8"/>
        <v/>
      </c>
      <c r="C21" s="157">
        <f>IF(D11="","-",+C20+1)</f>
        <v>2022</v>
      </c>
      <c r="D21" s="166">
        <f>IF(F20+SUM(E$17:E20)=D$10,F20,D$10-SUM(E$17:E20))</f>
        <v>1240360.9523809527</v>
      </c>
      <c r="E21" s="164">
        <f t="shared" si="4"/>
        <v>32022.357142857141</v>
      </c>
      <c r="F21" s="163">
        <f t="shared" si="5"/>
        <v>1208338.5952380956</v>
      </c>
      <c r="G21" s="165">
        <f t="shared" si="6"/>
        <v>164257.98132290645</v>
      </c>
      <c r="H21" s="147">
        <f t="shared" si="7"/>
        <v>164257.98132290645</v>
      </c>
      <c r="I21" s="160">
        <f t="shared" si="0"/>
        <v>0</v>
      </c>
      <c r="J21" s="160"/>
      <c r="K21" s="335"/>
      <c r="L21" s="162">
        <f t="shared" si="1"/>
        <v>0</v>
      </c>
      <c r="M21" s="335"/>
      <c r="N21" s="162">
        <f t="shared" si="2"/>
        <v>0</v>
      </c>
      <c r="O21" s="162">
        <f t="shared" si="3"/>
        <v>0</v>
      </c>
      <c r="P21" s="4"/>
    </row>
    <row r="22" spans="2:16">
      <c r="B22" s="9" t="str">
        <f t="shared" si="8"/>
        <v/>
      </c>
      <c r="C22" s="157">
        <f>IF(D11="","-",+C21+1)</f>
        <v>2023</v>
      </c>
      <c r="D22" s="166">
        <f>IF(F21+SUM(E$17:E21)=D$10,F21,D$10-SUM(E$17:E21))</f>
        <v>1208338.5952380956</v>
      </c>
      <c r="E22" s="164">
        <f t="shared" si="4"/>
        <v>32022.357142857141</v>
      </c>
      <c r="F22" s="163">
        <f t="shared" si="5"/>
        <v>1176316.2380952386</v>
      </c>
      <c r="G22" s="165">
        <f t="shared" si="6"/>
        <v>160799.41378356129</v>
      </c>
      <c r="H22" s="147">
        <f t="shared" si="7"/>
        <v>160799.41378356129</v>
      </c>
      <c r="I22" s="160">
        <f t="shared" si="0"/>
        <v>0</v>
      </c>
      <c r="J22" s="160"/>
      <c r="K22" s="335"/>
      <c r="L22" s="162">
        <f t="shared" si="1"/>
        <v>0</v>
      </c>
      <c r="M22" s="335"/>
      <c r="N22" s="162">
        <f t="shared" si="2"/>
        <v>0</v>
      </c>
      <c r="O22" s="162">
        <f t="shared" si="3"/>
        <v>0</v>
      </c>
      <c r="P22" s="4"/>
    </row>
    <row r="23" spans="2:16">
      <c r="B23" s="9" t="str">
        <f t="shared" si="8"/>
        <v/>
      </c>
      <c r="C23" s="157">
        <f>IF(D11="","-",+C22+1)</f>
        <v>2024</v>
      </c>
      <c r="D23" s="166">
        <f>IF(F22+SUM(E$17:E22)=D$10,F22,D$10-SUM(E$17:E22))</f>
        <v>1176316.2380952386</v>
      </c>
      <c r="E23" s="164">
        <f t="shared" si="4"/>
        <v>32022.357142857141</v>
      </c>
      <c r="F23" s="163">
        <f t="shared" si="5"/>
        <v>1144293.8809523815</v>
      </c>
      <c r="G23" s="165">
        <f t="shared" si="6"/>
        <v>157340.8462442162</v>
      </c>
      <c r="H23" s="147">
        <f t="shared" si="7"/>
        <v>157340.8462442162</v>
      </c>
      <c r="I23" s="160">
        <f t="shared" si="0"/>
        <v>0</v>
      </c>
      <c r="J23" s="160"/>
      <c r="K23" s="335"/>
      <c r="L23" s="162">
        <f t="shared" si="1"/>
        <v>0</v>
      </c>
      <c r="M23" s="335"/>
      <c r="N23" s="162">
        <f t="shared" si="2"/>
        <v>0</v>
      </c>
      <c r="O23" s="162">
        <f t="shared" si="3"/>
        <v>0</v>
      </c>
      <c r="P23" s="4"/>
    </row>
    <row r="24" spans="2:16">
      <c r="B24" s="9" t="str">
        <f t="shared" si="8"/>
        <v/>
      </c>
      <c r="C24" s="157">
        <f>IF(D11="","-",+C23+1)</f>
        <v>2025</v>
      </c>
      <c r="D24" s="166">
        <f>IF(F23+SUM(E$17:E23)=D$10,F23,D$10-SUM(E$17:E23))</f>
        <v>1144293.8809523815</v>
      </c>
      <c r="E24" s="164">
        <f t="shared" si="4"/>
        <v>32022.357142857141</v>
      </c>
      <c r="F24" s="163">
        <f t="shared" si="5"/>
        <v>1112271.5238095245</v>
      </c>
      <c r="G24" s="165">
        <f t="shared" si="6"/>
        <v>153882.27870487105</v>
      </c>
      <c r="H24" s="147">
        <f t="shared" si="7"/>
        <v>153882.27870487105</v>
      </c>
      <c r="I24" s="160">
        <f t="shared" si="0"/>
        <v>0</v>
      </c>
      <c r="J24" s="160"/>
      <c r="K24" s="335"/>
      <c r="L24" s="162">
        <f t="shared" si="1"/>
        <v>0</v>
      </c>
      <c r="M24" s="335"/>
      <c r="N24" s="162">
        <f t="shared" si="2"/>
        <v>0</v>
      </c>
      <c r="O24" s="162">
        <f t="shared" si="3"/>
        <v>0</v>
      </c>
      <c r="P24" s="4"/>
    </row>
    <row r="25" spans="2:16">
      <c r="B25" s="9" t="str">
        <f t="shared" si="8"/>
        <v/>
      </c>
      <c r="C25" s="157">
        <f>IF(D11="","-",+C24+1)</f>
        <v>2026</v>
      </c>
      <c r="D25" s="166">
        <f>IF(F24+SUM(E$17:E24)=D$10,F24,D$10-SUM(E$17:E24))</f>
        <v>1112271.5238095245</v>
      </c>
      <c r="E25" s="164">
        <f t="shared" si="4"/>
        <v>32022.357142857141</v>
      </c>
      <c r="F25" s="163">
        <f t="shared" si="5"/>
        <v>1080249.1666666674</v>
      </c>
      <c r="G25" s="165">
        <f t="shared" si="6"/>
        <v>150423.71116552595</v>
      </c>
      <c r="H25" s="147">
        <f t="shared" si="7"/>
        <v>150423.71116552595</v>
      </c>
      <c r="I25" s="160">
        <f t="shared" si="0"/>
        <v>0</v>
      </c>
      <c r="J25" s="160"/>
      <c r="K25" s="335"/>
      <c r="L25" s="162">
        <f t="shared" si="1"/>
        <v>0</v>
      </c>
      <c r="M25" s="335"/>
      <c r="N25" s="162">
        <f t="shared" si="2"/>
        <v>0</v>
      </c>
      <c r="O25" s="162">
        <f t="shared" si="3"/>
        <v>0</v>
      </c>
      <c r="P25" s="4"/>
    </row>
    <row r="26" spans="2:16">
      <c r="B26" s="9" t="str">
        <f t="shared" si="8"/>
        <v/>
      </c>
      <c r="C26" s="157">
        <f>IF(D11="","-",+C25+1)</f>
        <v>2027</v>
      </c>
      <c r="D26" s="166">
        <f>IF(F25+SUM(E$17:E25)=D$10,F25,D$10-SUM(E$17:E25))</f>
        <v>1080249.1666666674</v>
      </c>
      <c r="E26" s="164">
        <f t="shared" si="4"/>
        <v>32022.357142857141</v>
      </c>
      <c r="F26" s="163">
        <f t="shared" si="5"/>
        <v>1048226.8095238103</v>
      </c>
      <c r="G26" s="165">
        <f t="shared" si="6"/>
        <v>146965.1436261808</v>
      </c>
      <c r="H26" s="147">
        <f t="shared" si="7"/>
        <v>146965.1436261808</v>
      </c>
      <c r="I26" s="160">
        <f t="shared" si="0"/>
        <v>0</v>
      </c>
      <c r="J26" s="160"/>
      <c r="K26" s="335"/>
      <c r="L26" s="162">
        <f t="shared" si="1"/>
        <v>0</v>
      </c>
      <c r="M26" s="335"/>
      <c r="N26" s="162">
        <f t="shared" si="2"/>
        <v>0</v>
      </c>
      <c r="O26" s="162">
        <f t="shared" si="3"/>
        <v>0</v>
      </c>
      <c r="P26" s="4"/>
    </row>
    <row r="27" spans="2:16">
      <c r="B27" s="9" t="str">
        <f t="shared" si="8"/>
        <v/>
      </c>
      <c r="C27" s="157">
        <f>IF(D11="","-",+C26+1)</f>
        <v>2028</v>
      </c>
      <c r="D27" s="166">
        <f>IF(F26+SUM(E$17:E26)=D$10,F26,D$10-SUM(E$17:E26))</f>
        <v>1048226.8095238103</v>
      </c>
      <c r="E27" s="164">
        <f t="shared" si="4"/>
        <v>32022.357142857141</v>
      </c>
      <c r="F27" s="163">
        <f t="shared" si="5"/>
        <v>1016204.4523809531</v>
      </c>
      <c r="G27" s="165">
        <f t="shared" si="6"/>
        <v>143506.5760868357</v>
      </c>
      <c r="H27" s="147">
        <f t="shared" si="7"/>
        <v>143506.5760868357</v>
      </c>
      <c r="I27" s="160">
        <f t="shared" si="0"/>
        <v>0</v>
      </c>
      <c r="J27" s="160"/>
      <c r="K27" s="335"/>
      <c r="L27" s="162">
        <f t="shared" si="1"/>
        <v>0</v>
      </c>
      <c r="M27" s="335"/>
      <c r="N27" s="162">
        <f t="shared" si="2"/>
        <v>0</v>
      </c>
      <c r="O27" s="162">
        <f t="shared" si="3"/>
        <v>0</v>
      </c>
      <c r="P27" s="4"/>
    </row>
    <row r="28" spans="2:16">
      <c r="B28" s="9" t="str">
        <f t="shared" si="8"/>
        <v/>
      </c>
      <c r="C28" s="157">
        <f>IF(D11="","-",+C27+1)</f>
        <v>2029</v>
      </c>
      <c r="D28" s="166">
        <f>IF(F27+SUM(E$17:E27)=D$10,F27,D$10-SUM(E$17:E27))</f>
        <v>1016204.4523809531</v>
      </c>
      <c r="E28" s="164">
        <f t="shared" si="4"/>
        <v>32022.357142857141</v>
      </c>
      <c r="F28" s="163">
        <f t="shared" si="5"/>
        <v>984182.09523809596</v>
      </c>
      <c r="G28" s="165">
        <f t="shared" si="6"/>
        <v>140048.00854749055</v>
      </c>
      <c r="H28" s="147">
        <f t="shared" si="7"/>
        <v>140048.00854749055</v>
      </c>
      <c r="I28" s="160">
        <f t="shared" si="0"/>
        <v>0</v>
      </c>
      <c r="J28" s="160"/>
      <c r="K28" s="335"/>
      <c r="L28" s="162">
        <f t="shared" si="1"/>
        <v>0</v>
      </c>
      <c r="M28" s="335"/>
      <c r="N28" s="162">
        <f t="shared" si="2"/>
        <v>0</v>
      </c>
      <c r="O28" s="162">
        <f t="shared" si="3"/>
        <v>0</v>
      </c>
      <c r="P28" s="4"/>
    </row>
    <row r="29" spans="2:16">
      <c r="B29" s="9" t="str">
        <f t="shared" si="8"/>
        <v/>
      </c>
      <c r="C29" s="157">
        <f>IF(D11="","-",+C28+1)</f>
        <v>2030</v>
      </c>
      <c r="D29" s="166">
        <f>IF(F28+SUM(E$17:E28)=D$10,F28,D$10-SUM(E$17:E28))</f>
        <v>984182.09523809596</v>
      </c>
      <c r="E29" s="164">
        <f t="shared" si="4"/>
        <v>32022.357142857141</v>
      </c>
      <c r="F29" s="163">
        <f t="shared" si="5"/>
        <v>952159.7380952388</v>
      </c>
      <c r="G29" s="165">
        <f t="shared" si="6"/>
        <v>136589.44100814543</v>
      </c>
      <c r="H29" s="147">
        <f t="shared" si="7"/>
        <v>136589.44100814543</v>
      </c>
      <c r="I29" s="160">
        <f t="shared" si="0"/>
        <v>0</v>
      </c>
      <c r="J29" s="160"/>
      <c r="K29" s="335"/>
      <c r="L29" s="162">
        <f t="shared" si="1"/>
        <v>0</v>
      </c>
      <c r="M29" s="335"/>
      <c r="N29" s="162">
        <f t="shared" si="2"/>
        <v>0</v>
      </c>
      <c r="O29" s="162">
        <f t="shared" si="3"/>
        <v>0</v>
      </c>
      <c r="P29" s="4"/>
    </row>
    <row r="30" spans="2:16">
      <c r="B30" s="9" t="str">
        <f t="shared" si="8"/>
        <v/>
      </c>
      <c r="C30" s="157">
        <f>IF(D11="","-",+C29+1)</f>
        <v>2031</v>
      </c>
      <c r="D30" s="166">
        <f>IF(F29+SUM(E$17:E29)=D$10,F29,D$10-SUM(E$17:E29))</f>
        <v>952159.7380952388</v>
      </c>
      <c r="E30" s="164">
        <f t="shared" si="4"/>
        <v>32022.357142857141</v>
      </c>
      <c r="F30" s="163">
        <f t="shared" si="5"/>
        <v>920137.38095238165</v>
      </c>
      <c r="G30" s="165">
        <f t="shared" si="6"/>
        <v>133130.87346880027</v>
      </c>
      <c r="H30" s="147">
        <f t="shared" si="7"/>
        <v>133130.87346880027</v>
      </c>
      <c r="I30" s="160">
        <f t="shared" si="0"/>
        <v>0</v>
      </c>
      <c r="J30" s="160"/>
      <c r="K30" s="335"/>
      <c r="L30" s="162">
        <f t="shared" si="1"/>
        <v>0</v>
      </c>
      <c r="M30" s="335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8"/>
        <v/>
      </c>
      <c r="C31" s="157">
        <f>IF(D11="","-",+C30+1)</f>
        <v>2032</v>
      </c>
      <c r="D31" s="166">
        <f>IF(F30+SUM(E$17:E30)=D$10,F30,D$10-SUM(E$17:E30))</f>
        <v>920137.38095238165</v>
      </c>
      <c r="E31" s="164">
        <f t="shared" si="4"/>
        <v>32022.357142857141</v>
      </c>
      <c r="F31" s="163">
        <f t="shared" si="5"/>
        <v>888115.02380952449</v>
      </c>
      <c r="G31" s="165">
        <f t="shared" si="6"/>
        <v>129672.30592945516</v>
      </c>
      <c r="H31" s="147">
        <f t="shared" si="7"/>
        <v>129672.30592945516</v>
      </c>
      <c r="I31" s="160">
        <f t="shared" si="0"/>
        <v>0</v>
      </c>
      <c r="J31" s="160"/>
      <c r="K31" s="335"/>
      <c r="L31" s="162">
        <f t="shared" si="1"/>
        <v>0</v>
      </c>
      <c r="M31" s="335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8"/>
        <v/>
      </c>
      <c r="C32" s="157">
        <f>IF(D11="","-",+C31+1)</f>
        <v>2033</v>
      </c>
      <c r="D32" s="166">
        <f>IF(F31+SUM(E$17:E31)=D$10,F31,D$10-SUM(E$17:E31))</f>
        <v>888115.02380952449</v>
      </c>
      <c r="E32" s="164">
        <f t="shared" si="4"/>
        <v>32022.357142857141</v>
      </c>
      <c r="F32" s="163">
        <f t="shared" si="5"/>
        <v>856092.66666666733</v>
      </c>
      <c r="G32" s="165">
        <f t="shared" si="6"/>
        <v>126213.73839011003</v>
      </c>
      <c r="H32" s="147">
        <f t="shared" si="7"/>
        <v>126213.73839011003</v>
      </c>
      <c r="I32" s="160">
        <f t="shared" si="0"/>
        <v>0</v>
      </c>
      <c r="J32" s="160"/>
      <c r="K32" s="335"/>
      <c r="L32" s="162">
        <f t="shared" si="1"/>
        <v>0</v>
      </c>
      <c r="M32" s="335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8"/>
        <v/>
      </c>
      <c r="C33" s="157">
        <f>IF(D11="","-",+C32+1)</f>
        <v>2034</v>
      </c>
      <c r="D33" s="166">
        <f>IF(F32+SUM(E$17:E32)=D$10,F32,D$10-SUM(E$17:E32))</f>
        <v>856092.66666666733</v>
      </c>
      <c r="E33" s="164">
        <f t="shared" si="4"/>
        <v>32022.357142857141</v>
      </c>
      <c r="F33" s="163">
        <f t="shared" si="5"/>
        <v>824070.30952381017</v>
      </c>
      <c r="G33" s="165">
        <f t="shared" si="6"/>
        <v>122755.1708507649</v>
      </c>
      <c r="H33" s="147">
        <f t="shared" si="7"/>
        <v>122755.1708507649</v>
      </c>
      <c r="I33" s="160">
        <f t="shared" si="0"/>
        <v>0</v>
      </c>
      <c r="J33" s="160"/>
      <c r="K33" s="335"/>
      <c r="L33" s="162">
        <f t="shared" si="1"/>
        <v>0</v>
      </c>
      <c r="M33" s="335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8"/>
        <v/>
      </c>
      <c r="C34" s="157">
        <f>IF(D11="","-",+C33+1)</f>
        <v>2035</v>
      </c>
      <c r="D34" s="166">
        <f>IF(F33+SUM(E$17:E33)=D$10,F33,D$10-SUM(E$17:E33))</f>
        <v>824070.30952381017</v>
      </c>
      <c r="E34" s="164">
        <f t="shared" si="4"/>
        <v>32022.357142857141</v>
      </c>
      <c r="F34" s="163">
        <f t="shared" si="5"/>
        <v>792047.95238095301</v>
      </c>
      <c r="G34" s="165">
        <f t="shared" si="6"/>
        <v>119296.60331141975</v>
      </c>
      <c r="H34" s="147">
        <f t="shared" si="7"/>
        <v>119296.60331141975</v>
      </c>
      <c r="I34" s="160">
        <f t="shared" si="0"/>
        <v>0</v>
      </c>
      <c r="J34" s="160"/>
      <c r="K34" s="335"/>
      <c r="L34" s="162">
        <f t="shared" si="1"/>
        <v>0</v>
      </c>
      <c r="M34" s="335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8"/>
        <v/>
      </c>
      <c r="C35" s="157">
        <f>IF(D11="","-",+C34+1)</f>
        <v>2036</v>
      </c>
      <c r="D35" s="166">
        <f>IF(F34+SUM(E$17:E34)=D$10,F34,D$10-SUM(E$17:E34))</f>
        <v>792047.95238095301</v>
      </c>
      <c r="E35" s="164">
        <f t="shared" si="4"/>
        <v>32022.357142857141</v>
      </c>
      <c r="F35" s="163">
        <f t="shared" si="5"/>
        <v>760025.59523809585</v>
      </c>
      <c r="G35" s="165">
        <f t="shared" si="6"/>
        <v>115838.03577207464</v>
      </c>
      <c r="H35" s="147">
        <f t="shared" si="7"/>
        <v>115838.03577207464</v>
      </c>
      <c r="I35" s="160">
        <f t="shared" si="0"/>
        <v>0</v>
      </c>
      <c r="J35" s="160"/>
      <c r="K35" s="335"/>
      <c r="L35" s="162">
        <f t="shared" si="1"/>
        <v>0</v>
      </c>
      <c r="M35" s="335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8"/>
        <v/>
      </c>
      <c r="C36" s="157">
        <f>IF(D11="","-",+C35+1)</f>
        <v>2037</v>
      </c>
      <c r="D36" s="166">
        <f>IF(F35+SUM(E$17:E35)=D$10,F35,D$10-SUM(E$17:E35))</f>
        <v>760025.59523809585</v>
      </c>
      <c r="E36" s="164">
        <f t="shared" si="4"/>
        <v>32022.357142857141</v>
      </c>
      <c r="F36" s="163">
        <f t="shared" si="5"/>
        <v>728003.23809523869</v>
      </c>
      <c r="G36" s="165">
        <f t="shared" si="6"/>
        <v>112379.46823272949</v>
      </c>
      <c r="H36" s="147">
        <f t="shared" si="7"/>
        <v>112379.46823272949</v>
      </c>
      <c r="I36" s="160">
        <f t="shared" si="0"/>
        <v>0</v>
      </c>
      <c r="J36" s="160"/>
      <c r="K36" s="335"/>
      <c r="L36" s="162">
        <f t="shared" si="1"/>
        <v>0</v>
      </c>
      <c r="M36" s="335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8"/>
        <v/>
      </c>
      <c r="C37" s="157">
        <f>IF(D11="","-",+C36+1)</f>
        <v>2038</v>
      </c>
      <c r="D37" s="166">
        <f>IF(F36+SUM(E$17:E36)=D$10,F36,D$10-SUM(E$17:E36))</f>
        <v>728003.23809523869</v>
      </c>
      <c r="E37" s="164">
        <f t="shared" si="4"/>
        <v>32022.357142857141</v>
      </c>
      <c r="F37" s="163">
        <f t="shared" si="5"/>
        <v>695980.88095238153</v>
      </c>
      <c r="G37" s="165">
        <f t="shared" si="6"/>
        <v>108920.90069338436</v>
      </c>
      <c r="H37" s="147">
        <f t="shared" si="7"/>
        <v>108920.90069338436</v>
      </c>
      <c r="I37" s="160">
        <f t="shared" si="0"/>
        <v>0</v>
      </c>
      <c r="J37" s="160"/>
      <c r="K37" s="335"/>
      <c r="L37" s="162">
        <f t="shared" si="1"/>
        <v>0</v>
      </c>
      <c r="M37" s="335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8"/>
        <v/>
      </c>
      <c r="C38" s="157">
        <f>IF(D11="","-",+C37+1)</f>
        <v>2039</v>
      </c>
      <c r="D38" s="166">
        <f>IF(F37+SUM(E$17:E37)=D$10,F37,D$10-SUM(E$17:E37))</f>
        <v>695980.88095238153</v>
      </c>
      <c r="E38" s="164">
        <f t="shared" si="4"/>
        <v>32022.357142857141</v>
      </c>
      <c r="F38" s="163">
        <f t="shared" si="5"/>
        <v>663958.52380952437</v>
      </c>
      <c r="G38" s="165">
        <f t="shared" si="6"/>
        <v>105462.33315403922</v>
      </c>
      <c r="H38" s="147">
        <f t="shared" si="7"/>
        <v>105462.33315403922</v>
      </c>
      <c r="I38" s="160">
        <f t="shared" si="0"/>
        <v>0</v>
      </c>
      <c r="J38" s="160"/>
      <c r="K38" s="335"/>
      <c r="L38" s="162">
        <f t="shared" si="1"/>
        <v>0</v>
      </c>
      <c r="M38" s="335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8"/>
        <v/>
      </c>
      <c r="C39" s="157">
        <f>IF(D11="","-",+C38+1)</f>
        <v>2040</v>
      </c>
      <c r="D39" s="166">
        <f>IF(F38+SUM(E$17:E38)=D$10,F38,D$10-SUM(E$17:E38))</f>
        <v>663958.52380952437</v>
      </c>
      <c r="E39" s="164">
        <f t="shared" si="4"/>
        <v>32022.357142857141</v>
      </c>
      <c r="F39" s="163">
        <f t="shared" si="5"/>
        <v>631936.16666666721</v>
      </c>
      <c r="G39" s="165">
        <f t="shared" si="6"/>
        <v>102003.7656146941</v>
      </c>
      <c r="H39" s="147">
        <f t="shared" si="7"/>
        <v>102003.7656146941</v>
      </c>
      <c r="I39" s="160">
        <f t="shared" si="0"/>
        <v>0</v>
      </c>
      <c r="J39" s="160"/>
      <c r="K39" s="335"/>
      <c r="L39" s="162">
        <f t="shared" si="1"/>
        <v>0</v>
      </c>
      <c r="M39" s="335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8"/>
        <v/>
      </c>
      <c r="C40" s="157">
        <f>IF(D11="","-",+C39+1)</f>
        <v>2041</v>
      </c>
      <c r="D40" s="166">
        <f>IF(F39+SUM(E$17:E39)=D$10,F39,D$10-SUM(E$17:E39))</f>
        <v>631936.16666666721</v>
      </c>
      <c r="E40" s="164">
        <f t="shared" si="4"/>
        <v>32022.357142857141</v>
      </c>
      <c r="F40" s="163">
        <f t="shared" si="5"/>
        <v>599913.80952381005</v>
      </c>
      <c r="G40" s="165">
        <f t="shared" si="6"/>
        <v>98545.198075348948</v>
      </c>
      <c r="H40" s="147">
        <f t="shared" si="7"/>
        <v>98545.198075348948</v>
      </c>
      <c r="I40" s="160">
        <f t="shared" si="0"/>
        <v>0</v>
      </c>
      <c r="J40" s="160"/>
      <c r="K40" s="335"/>
      <c r="L40" s="162">
        <f t="shared" si="1"/>
        <v>0</v>
      </c>
      <c r="M40" s="335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8"/>
        <v/>
      </c>
      <c r="C41" s="157">
        <f>IF(D11="","-",+C40+1)</f>
        <v>2042</v>
      </c>
      <c r="D41" s="166">
        <f>IF(F40+SUM(E$17:E40)=D$10,F40,D$10-SUM(E$17:E40))</f>
        <v>599913.80952381005</v>
      </c>
      <c r="E41" s="164">
        <f t="shared" si="4"/>
        <v>32022.357142857141</v>
      </c>
      <c r="F41" s="163">
        <f t="shared" si="5"/>
        <v>567891.45238095289</v>
      </c>
      <c r="G41" s="165">
        <f t="shared" si="6"/>
        <v>95086.630536003824</v>
      </c>
      <c r="H41" s="147">
        <f t="shared" si="7"/>
        <v>95086.630536003824</v>
      </c>
      <c r="I41" s="160">
        <f t="shared" si="0"/>
        <v>0</v>
      </c>
      <c r="J41" s="160"/>
      <c r="K41" s="335"/>
      <c r="L41" s="162">
        <f t="shared" si="1"/>
        <v>0</v>
      </c>
      <c r="M41" s="335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8"/>
        <v/>
      </c>
      <c r="C42" s="157">
        <f>IF(D11="","-",+C41+1)</f>
        <v>2043</v>
      </c>
      <c r="D42" s="166">
        <f>IF(F41+SUM(E$17:E41)=D$10,F41,D$10-SUM(E$17:E41))</f>
        <v>567891.45238095289</v>
      </c>
      <c r="E42" s="164">
        <f t="shared" si="4"/>
        <v>32022.357142857141</v>
      </c>
      <c r="F42" s="163">
        <f t="shared" si="5"/>
        <v>535869.09523809573</v>
      </c>
      <c r="G42" s="165">
        <f t="shared" si="6"/>
        <v>91628.062996658686</v>
      </c>
      <c r="H42" s="147">
        <f t="shared" si="7"/>
        <v>91628.062996658686</v>
      </c>
      <c r="I42" s="160">
        <f t="shared" si="0"/>
        <v>0</v>
      </c>
      <c r="J42" s="160"/>
      <c r="K42" s="335"/>
      <c r="L42" s="162">
        <f t="shared" si="1"/>
        <v>0</v>
      </c>
      <c r="M42" s="335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8"/>
        <v/>
      </c>
      <c r="C43" s="157">
        <f>IF(D11="","-",+C42+1)</f>
        <v>2044</v>
      </c>
      <c r="D43" s="166">
        <f>IF(F42+SUM(E$17:E42)=D$10,F42,D$10-SUM(E$17:E42))</f>
        <v>535869.09523809573</v>
      </c>
      <c r="E43" s="164">
        <f t="shared" si="4"/>
        <v>32022.357142857141</v>
      </c>
      <c r="F43" s="163">
        <f t="shared" si="5"/>
        <v>503846.73809523857</v>
      </c>
      <c r="G43" s="165">
        <f t="shared" si="6"/>
        <v>88169.495457313562</v>
      </c>
      <c r="H43" s="147">
        <f t="shared" si="7"/>
        <v>88169.495457313562</v>
      </c>
      <c r="I43" s="160">
        <f t="shared" si="0"/>
        <v>0</v>
      </c>
      <c r="J43" s="160"/>
      <c r="K43" s="335"/>
      <c r="L43" s="162">
        <f t="shared" si="1"/>
        <v>0</v>
      </c>
      <c r="M43" s="335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8"/>
        <v/>
      </c>
      <c r="C44" s="157">
        <f>IF(D11="","-",+C43+1)</f>
        <v>2045</v>
      </c>
      <c r="D44" s="166">
        <f>IF(F43+SUM(E$17:E43)=D$10,F43,D$10-SUM(E$17:E43))</f>
        <v>503846.73809523857</v>
      </c>
      <c r="E44" s="164">
        <f t="shared" si="4"/>
        <v>32022.357142857141</v>
      </c>
      <c r="F44" s="163">
        <f t="shared" si="5"/>
        <v>471824.38095238141</v>
      </c>
      <c r="G44" s="165">
        <f t="shared" si="6"/>
        <v>84710.927917968424</v>
      </c>
      <c r="H44" s="147">
        <f t="shared" si="7"/>
        <v>84710.927917968424</v>
      </c>
      <c r="I44" s="160">
        <f t="shared" si="0"/>
        <v>0</v>
      </c>
      <c r="J44" s="160"/>
      <c r="K44" s="335"/>
      <c r="L44" s="162">
        <f t="shared" si="1"/>
        <v>0</v>
      </c>
      <c r="M44" s="335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8"/>
        <v/>
      </c>
      <c r="C45" s="157">
        <f>IF(D11="","-",+C44+1)</f>
        <v>2046</v>
      </c>
      <c r="D45" s="166">
        <f>IF(F44+SUM(E$17:E44)=D$10,F44,D$10-SUM(E$17:E44))</f>
        <v>471824.38095238141</v>
      </c>
      <c r="E45" s="164">
        <f t="shared" si="4"/>
        <v>32022.357142857141</v>
      </c>
      <c r="F45" s="163">
        <f t="shared" si="5"/>
        <v>439802.02380952425</v>
      </c>
      <c r="G45" s="165">
        <f t="shared" si="6"/>
        <v>81252.360378623285</v>
      </c>
      <c r="H45" s="147">
        <f t="shared" si="7"/>
        <v>81252.360378623285</v>
      </c>
      <c r="I45" s="160">
        <f t="shared" si="0"/>
        <v>0</v>
      </c>
      <c r="J45" s="160"/>
      <c r="K45" s="335"/>
      <c r="L45" s="162">
        <f t="shared" si="1"/>
        <v>0</v>
      </c>
      <c r="M45" s="335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8"/>
        <v/>
      </c>
      <c r="C46" s="157">
        <f>IF(D11="","-",+C45+1)</f>
        <v>2047</v>
      </c>
      <c r="D46" s="166">
        <f>IF(F45+SUM(E$17:E45)=D$10,F45,D$10-SUM(E$17:E45))</f>
        <v>439802.02380952425</v>
      </c>
      <c r="E46" s="164">
        <f t="shared" si="4"/>
        <v>32022.357142857141</v>
      </c>
      <c r="F46" s="163">
        <f t="shared" si="5"/>
        <v>407779.66666666709</v>
      </c>
      <c r="G46" s="165">
        <f t="shared" si="6"/>
        <v>77793.792839278161</v>
      </c>
      <c r="H46" s="147">
        <f t="shared" si="7"/>
        <v>77793.792839278161</v>
      </c>
      <c r="I46" s="160">
        <f t="shared" si="0"/>
        <v>0</v>
      </c>
      <c r="J46" s="160"/>
      <c r="K46" s="335"/>
      <c r="L46" s="162">
        <f t="shared" si="1"/>
        <v>0</v>
      </c>
      <c r="M46" s="335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8"/>
        <v/>
      </c>
      <c r="C47" s="157">
        <f>IF(D11="","-",+C46+1)</f>
        <v>2048</v>
      </c>
      <c r="D47" s="166">
        <f>IF(F46+SUM(E$17:E46)=D$10,F46,D$10-SUM(E$17:E46))</f>
        <v>407779.66666666709</v>
      </c>
      <c r="E47" s="164">
        <f t="shared" si="4"/>
        <v>32022.357142857141</v>
      </c>
      <c r="F47" s="163">
        <f t="shared" si="5"/>
        <v>375757.30952380993</v>
      </c>
      <c r="G47" s="165">
        <f t="shared" si="6"/>
        <v>74335.225299933023</v>
      </c>
      <c r="H47" s="147">
        <f t="shared" si="7"/>
        <v>74335.225299933023</v>
      </c>
      <c r="I47" s="160">
        <f t="shared" si="0"/>
        <v>0</v>
      </c>
      <c r="J47" s="160"/>
      <c r="K47" s="335"/>
      <c r="L47" s="162">
        <f t="shared" si="1"/>
        <v>0</v>
      </c>
      <c r="M47" s="335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8"/>
        <v/>
      </c>
      <c r="C48" s="157">
        <f>IF(D11="","-",+C47+1)</f>
        <v>2049</v>
      </c>
      <c r="D48" s="166">
        <f>IF(F47+SUM(E$17:E47)=D$10,F47,D$10-SUM(E$17:E47))</f>
        <v>375757.30952380993</v>
      </c>
      <c r="E48" s="164">
        <f t="shared" si="4"/>
        <v>32022.357142857141</v>
      </c>
      <c r="F48" s="163">
        <f t="shared" si="5"/>
        <v>343734.95238095277</v>
      </c>
      <c r="G48" s="165">
        <f t="shared" si="6"/>
        <v>70876.657760587885</v>
      </c>
      <c r="H48" s="147">
        <f t="shared" si="7"/>
        <v>70876.657760587885</v>
      </c>
      <c r="I48" s="160">
        <f t="shared" si="0"/>
        <v>0</v>
      </c>
      <c r="J48" s="160"/>
      <c r="K48" s="335"/>
      <c r="L48" s="162">
        <f t="shared" si="1"/>
        <v>0</v>
      </c>
      <c r="M48" s="335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8"/>
        <v/>
      </c>
      <c r="C49" s="157">
        <f>IF(D11="","-",+C48+1)</f>
        <v>2050</v>
      </c>
      <c r="D49" s="166">
        <f>IF(F48+SUM(E$17:E48)=D$10,F48,D$10-SUM(E$17:E48))</f>
        <v>343734.95238095277</v>
      </c>
      <c r="E49" s="164">
        <f t="shared" si="4"/>
        <v>32022.357142857141</v>
      </c>
      <c r="F49" s="163">
        <f t="shared" si="5"/>
        <v>311712.59523809562</v>
      </c>
      <c r="G49" s="165">
        <f t="shared" si="6"/>
        <v>67418.090221242761</v>
      </c>
      <c r="H49" s="147">
        <f t="shared" si="7"/>
        <v>67418.090221242761</v>
      </c>
      <c r="I49" s="160">
        <f t="shared" si="0"/>
        <v>0</v>
      </c>
      <c r="J49" s="160"/>
      <c r="K49" s="335"/>
      <c r="L49" s="162">
        <f t="shared" si="1"/>
        <v>0</v>
      </c>
      <c r="M49" s="335"/>
      <c r="N49" s="162">
        <f t="shared" si="2"/>
        <v>0</v>
      </c>
      <c r="O49" s="162">
        <f t="shared" si="3"/>
        <v>0</v>
      </c>
      <c r="P49" s="4"/>
    </row>
    <row r="50" spans="2:16">
      <c r="B50" s="9" t="str">
        <f t="shared" si="8"/>
        <v/>
      </c>
      <c r="C50" s="157">
        <f>IF(D11="","-",+C49+1)</f>
        <v>2051</v>
      </c>
      <c r="D50" s="166">
        <f>IF(F49+SUM(E$17:E49)=D$10,F49,D$10-SUM(E$17:E49))</f>
        <v>311712.59523809562</v>
      </c>
      <c r="E50" s="164">
        <f t="shared" si="4"/>
        <v>32022.357142857141</v>
      </c>
      <c r="F50" s="163">
        <f t="shared" si="5"/>
        <v>279690.23809523846</v>
      </c>
      <c r="G50" s="165">
        <f t="shared" si="6"/>
        <v>63959.522681897623</v>
      </c>
      <c r="H50" s="147">
        <f t="shared" si="7"/>
        <v>63959.522681897623</v>
      </c>
      <c r="I50" s="160">
        <f t="shared" si="0"/>
        <v>0</v>
      </c>
      <c r="J50" s="160"/>
      <c r="K50" s="335"/>
      <c r="L50" s="162">
        <f t="shared" si="1"/>
        <v>0</v>
      </c>
      <c r="M50" s="335"/>
      <c r="N50" s="162">
        <f t="shared" si="2"/>
        <v>0</v>
      </c>
      <c r="O50" s="162">
        <f t="shared" si="3"/>
        <v>0</v>
      </c>
      <c r="P50" s="4"/>
    </row>
    <row r="51" spans="2:16">
      <c r="B51" s="9" t="str">
        <f t="shared" si="8"/>
        <v/>
      </c>
      <c r="C51" s="157">
        <f>IF(D11="","-",+C50+1)</f>
        <v>2052</v>
      </c>
      <c r="D51" s="166">
        <f>IF(F50+SUM(E$17:E50)=D$10,F50,D$10-SUM(E$17:E50))</f>
        <v>279690.23809523846</v>
      </c>
      <c r="E51" s="164">
        <f t="shared" si="4"/>
        <v>32022.357142857141</v>
      </c>
      <c r="F51" s="163">
        <f t="shared" si="5"/>
        <v>247667.88095238133</v>
      </c>
      <c r="G51" s="165">
        <f t="shared" si="6"/>
        <v>60500.955142552491</v>
      </c>
      <c r="H51" s="147">
        <f t="shared" si="7"/>
        <v>60500.955142552491</v>
      </c>
      <c r="I51" s="160">
        <f t="shared" si="0"/>
        <v>0</v>
      </c>
      <c r="J51" s="160"/>
      <c r="K51" s="335"/>
      <c r="L51" s="162">
        <f t="shared" si="1"/>
        <v>0</v>
      </c>
      <c r="M51" s="335"/>
      <c r="N51" s="162">
        <f t="shared" si="2"/>
        <v>0</v>
      </c>
      <c r="O51" s="162">
        <f t="shared" si="3"/>
        <v>0</v>
      </c>
      <c r="P51" s="4"/>
    </row>
    <row r="52" spans="2:16">
      <c r="B52" s="9" t="str">
        <f t="shared" si="8"/>
        <v/>
      </c>
      <c r="C52" s="157">
        <f>IF(D11="","-",+C51+1)</f>
        <v>2053</v>
      </c>
      <c r="D52" s="166">
        <f>IF(F51+SUM(E$17:E51)=D$10,F51,D$10-SUM(E$17:E51))</f>
        <v>247667.88095238133</v>
      </c>
      <c r="E52" s="164">
        <f t="shared" si="4"/>
        <v>32022.357142857141</v>
      </c>
      <c r="F52" s="163">
        <f t="shared" si="5"/>
        <v>215645.52380952419</v>
      </c>
      <c r="G52" s="165">
        <f t="shared" si="6"/>
        <v>57042.38760320736</v>
      </c>
      <c r="H52" s="147">
        <f t="shared" si="7"/>
        <v>57042.38760320736</v>
      </c>
      <c r="I52" s="160">
        <f t="shared" si="0"/>
        <v>0</v>
      </c>
      <c r="J52" s="160"/>
      <c r="K52" s="335"/>
      <c r="L52" s="162">
        <f t="shared" si="1"/>
        <v>0</v>
      </c>
      <c r="M52" s="335"/>
      <c r="N52" s="162">
        <f t="shared" si="2"/>
        <v>0</v>
      </c>
      <c r="O52" s="162">
        <f t="shared" si="3"/>
        <v>0</v>
      </c>
      <c r="P52" s="4"/>
    </row>
    <row r="53" spans="2:16">
      <c r="B53" s="9" t="str">
        <f t="shared" si="8"/>
        <v/>
      </c>
      <c r="C53" s="157">
        <f>IF(D11="","-",+C52+1)</f>
        <v>2054</v>
      </c>
      <c r="D53" s="166">
        <f>IF(F52+SUM(E$17:E52)=D$10,F52,D$10-SUM(E$17:E52))</f>
        <v>215645.52380952419</v>
      </c>
      <c r="E53" s="164">
        <f t="shared" si="4"/>
        <v>32022.357142857141</v>
      </c>
      <c r="F53" s="163">
        <f t="shared" si="5"/>
        <v>183623.16666666706</v>
      </c>
      <c r="G53" s="165">
        <f t="shared" si="6"/>
        <v>53583.820063862237</v>
      </c>
      <c r="H53" s="147">
        <f t="shared" si="7"/>
        <v>53583.820063862237</v>
      </c>
      <c r="I53" s="160">
        <f t="shared" si="0"/>
        <v>0</v>
      </c>
      <c r="J53" s="160"/>
      <c r="K53" s="335"/>
      <c r="L53" s="162">
        <f t="shared" si="1"/>
        <v>0</v>
      </c>
      <c r="M53" s="335"/>
      <c r="N53" s="162">
        <f t="shared" si="2"/>
        <v>0</v>
      </c>
      <c r="O53" s="162">
        <f t="shared" si="3"/>
        <v>0</v>
      </c>
      <c r="P53" s="4"/>
    </row>
    <row r="54" spans="2:16">
      <c r="B54" s="9" t="str">
        <f t="shared" si="8"/>
        <v/>
      </c>
      <c r="C54" s="157">
        <f>IF(D11="","-",+C53+1)</f>
        <v>2055</v>
      </c>
      <c r="D54" s="166">
        <f>IF(F53+SUM(E$17:E53)=D$10,F53,D$10-SUM(E$17:E53))</f>
        <v>183623.16666666706</v>
      </c>
      <c r="E54" s="164">
        <f t="shared" si="4"/>
        <v>32022.357142857141</v>
      </c>
      <c r="F54" s="163">
        <f t="shared" si="5"/>
        <v>151600.80952380993</v>
      </c>
      <c r="G54" s="165">
        <f t="shared" si="6"/>
        <v>50125.252524517105</v>
      </c>
      <c r="H54" s="147">
        <f t="shared" si="7"/>
        <v>50125.252524517105</v>
      </c>
      <c r="I54" s="160">
        <f t="shared" si="0"/>
        <v>0</v>
      </c>
      <c r="J54" s="160"/>
      <c r="K54" s="335"/>
      <c r="L54" s="162">
        <f t="shared" si="1"/>
        <v>0</v>
      </c>
      <c r="M54" s="335"/>
      <c r="N54" s="162">
        <f t="shared" si="2"/>
        <v>0</v>
      </c>
      <c r="O54" s="162">
        <f t="shared" si="3"/>
        <v>0</v>
      </c>
      <c r="P54" s="4"/>
    </row>
    <row r="55" spans="2:16">
      <c r="B55" s="9" t="str">
        <f t="shared" si="8"/>
        <v/>
      </c>
      <c r="C55" s="157">
        <f>IF(D11="","-",+C54+1)</f>
        <v>2056</v>
      </c>
      <c r="D55" s="166">
        <f>IF(F54+SUM(E$17:E54)=D$10,F54,D$10-SUM(E$17:E54))</f>
        <v>151600.80952380993</v>
      </c>
      <c r="E55" s="164">
        <f t="shared" si="4"/>
        <v>32022.357142857141</v>
      </c>
      <c r="F55" s="163">
        <f t="shared" si="5"/>
        <v>119578.45238095279</v>
      </c>
      <c r="G55" s="165">
        <f t="shared" si="6"/>
        <v>46666.684985171974</v>
      </c>
      <c r="H55" s="147">
        <f t="shared" si="7"/>
        <v>46666.684985171974</v>
      </c>
      <c r="I55" s="160">
        <f t="shared" si="0"/>
        <v>0</v>
      </c>
      <c r="J55" s="160"/>
      <c r="K55" s="335"/>
      <c r="L55" s="162">
        <f t="shared" si="1"/>
        <v>0</v>
      </c>
      <c r="M55" s="335"/>
      <c r="N55" s="162">
        <f t="shared" si="2"/>
        <v>0</v>
      </c>
      <c r="O55" s="162">
        <f t="shared" si="3"/>
        <v>0</v>
      </c>
      <c r="P55" s="4"/>
    </row>
    <row r="56" spans="2:16">
      <c r="B56" s="9" t="str">
        <f t="shared" si="8"/>
        <v/>
      </c>
      <c r="C56" s="157">
        <f>IF(D11="","-",+C55+1)</f>
        <v>2057</v>
      </c>
      <c r="D56" s="166">
        <f>IF(F55+SUM(E$17:E55)=D$10,F55,D$10-SUM(E$17:E55))</f>
        <v>119578.45238095279</v>
      </c>
      <c r="E56" s="164">
        <f t="shared" si="4"/>
        <v>32022.357142857141</v>
      </c>
      <c r="F56" s="163">
        <f t="shared" si="5"/>
        <v>87556.095238095644</v>
      </c>
      <c r="G56" s="165">
        <f t="shared" si="6"/>
        <v>43208.117445826843</v>
      </c>
      <c r="H56" s="147">
        <f t="shared" si="7"/>
        <v>43208.117445826843</v>
      </c>
      <c r="I56" s="160">
        <f t="shared" si="0"/>
        <v>0</v>
      </c>
      <c r="J56" s="160"/>
      <c r="K56" s="335"/>
      <c r="L56" s="162">
        <f t="shared" si="1"/>
        <v>0</v>
      </c>
      <c r="M56" s="335"/>
      <c r="N56" s="162">
        <f t="shared" si="2"/>
        <v>0</v>
      </c>
      <c r="O56" s="162">
        <f t="shared" si="3"/>
        <v>0</v>
      </c>
      <c r="P56" s="4"/>
    </row>
    <row r="57" spans="2:16">
      <c r="B57" s="9" t="str">
        <f t="shared" si="8"/>
        <v/>
      </c>
      <c r="C57" s="157">
        <f>IF(D11="","-",+C56+1)</f>
        <v>2058</v>
      </c>
      <c r="D57" s="166">
        <f>IF(F56+SUM(E$17:E56)=D$10,F56,D$10-SUM(E$17:E56))</f>
        <v>87556.095238095644</v>
      </c>
      <c r="E57" s="164">
        <f t="shared" si="4"/>
        <v>32022.357142857141</v>
      </c>
      <c r="F57" s="163">
        <f t="shared" si="5"/>
        <v>55533.738095238499</v>
      </c>
      <c r="G57" s="165">
        <f t="shared" si="6"/>
        <v>39749.549906481712</v>
      </c>
      <c r="H57" s="147">
        <f t="shared" si="7"/>
        <v>39749.549906481712</v>
      </c>
      <c r="I57" s="160">
        <f t="shared" si="0"/>
        <v>0</v>
      </c>
      <c r="J57" s="160"/>
      <c r="K57" s="335"/>
      <c r="L57" s="162">
        <f t="shared" si="1"/>
        <v>0</v>
      </c>
      <c r="M57" s="335"/>
      <c r="N57" s="162">
        <f t="shared" si="2"/>
        <v>0</v>
      </c>
      <c r="O57" s="162">
        <f t="shared" si="3"/>
        <v>0</v>
      </c>
      <c r="P57" s="4"/>
    </row>
    <row r="58" spans="2:16">
      <c r="B58" s="9" t="str">
        <f t="shared" si="8"/>
        <v/>
      </c>
      <c r="C58" s="157">
        <f>IF(D11="","-",+C57+1)</f>
        <v>2059</v>
      </c>
      <c r="D58" s="166">
        <f>IF(F57+SUM(E$17:E57)=D$10,F57,D$10-SUM(E$17:E57))</f>
        <v>55533.738095238499</v>
      </c>
      <c r="E58" s="164">
        <f t="shared" si="4"/>
        <v>32022.357142857141</v>
      </c>
      <c r="F58" s="163">
        <f t="shared" si="5"/>
        <v>23511.380952381358</v>
      </c>
      <c r="G58" s="165">
        <f t="shared" si="6"/>
        <v>36290.982367136574</v>
      </c>
      <c r="H58" s="147">
        <f t="shared" si="7"/>
        <v>36290.982367136574</v>
      </c>
      <c r="I58" s="160">
        <f t="shared" si="0"/>
        <v>0</v>
      </c>
      <c r="J58" s="160"/>
      <c r="K58" s="335"/>
      <c r="L58" s="162">
        <f t="shared" si="1"/>
        <v>0</v>
      </c>
      <c r="M58" s="335"/>
      <c r="N58" s="162">
        <f t="shared" si="2"/>
        <v>0</v>
      </c>
      <c r="O58" s="162">
        <f t="shared" si="3"/>
        <v>0</v>
      </c>
      <c r="P58" s="4"/>
    </row>
    <row r="59" spans="2:16">
      <c r="B59" s="9" t="str">
        <f t="shared" si="8"/>
        <v/>
      </c>
      <c r="C59" s="157">
        <f>IF(D11="","-",+C58+1)</f>
        <v>2060</v>
      </c>
      <c r="D59" s="166">
        <f>IF(F58+SUM(E$17:E58)=D$10,F58,D$10-SUM(E$17:E58))</f>
        <v>23511.380952381358</v>
      </c>
      <c r="E59" s="164">
        <f t="shared" si="4"/>
        <v>23511.380952381358</v>
      </c>
      <c r="F59" s="163">
        <f t="shared" si="5"/>
        <v>0</v>
      </c>
      <c r="G59" s="165">
        <f t="shared" si="6"/>
        <v>24781.051679684795</v>
      </c>
      <c r="H59" s="147">
        <f t="shared" si="7"/>
        <v>24781.051679684795</v>
      </c>
      <c r="I59" s="160">
        <f t="shared" si="0"/>
        <v>0</v>
      </c>
      <c r="J59" s="160"/>
      <c r="K59" s="335"/>
      <c r="L59" s="162">
        <f t="shared" si="1"/>
        <v>0</v>
      </c>
      <c r="M59" s="335"/>
      <c r="N59" s="162">
        <f t="shared" si="2"/>
        <v>0</v>
      </c>
      <c r="O59" s="162">
        <f t="shared" si="3"/>
        <v>0</v>
      </c>
      <c r="P59" s="4"/>
    </row>
    <row r="60" spans="2:16">
      <c r="B60" s="9" t="str">
        <f t="shared" si="8"/>
        <v/>
      </c>
      <c r="C60" s="157">
        <f>IF(D11="","-",+C59+1)</f>
        <v>2061</v>
      </c>
      <c r="D60" s="166">
        <f>IF(F59+SUM(E$17:E59)=D$10,F59,D$10-SUM(E$17:E59))</f>
        <v>0</v>
      </c>
      <c r="E60" s="164">
        <f t="shared" si="4"/>
        <v>0</v>
      </c>
      <c r="F60" s="163">
        <f t="shared" si="5"/>
        <v>0</v>
      </c>
      <c r="G60" s="165">
        <f t="shared" si="6"/>
        <v>0</v>
      </c>
      <c r="H60" s="147">
        <f t="shared" si="7"/>
        <v>0</v>
      </c>
      <c r="I60" s="160">
        <f t="shared" si="0"/>
        <v>0</v>
      </c>
      <c r="J60" s="160"/>
      <c r="K60" s="335"/>
      <c r="L60" s="162">
        <f t="shared" si="1"/>
        <v>0</v>
      </c>
      <c r="M60" s="335"/>
      <c r="N60" s="162">
        <f t="shared" si="2"/>
        <v>0</v>
      </c>
      <c r="O60" s="162">
        <f t="shared" si="3"/>
        <v>0</v>
      </c>
      <c r="P60" s="4"/>
    </row>
    <row r="61" spans="2:16">
      <c r="B61" s="9" t="str">
        <f t="shared" si="8"/>
        <v/>
      </c>
      <c r="C61" s="157">
        <f>IF(D11="","-",+C60+1)</f>
        <v>2062</v>
      </c>
      <c r="D61" s="166">
        <f>IF(F60+SUM(E$17:E60)=D$10,F60,D$10-SUM(E$17:E60))</f>
        <v>0</v>
      </c>
      <c r="E61" s="164">
        <f t="shared" si="4"/>
        <v>0</v>
      </c>
      <c r="F61" s="163">
        <f t="shared" si="5"/>
        <v>0</v>
      </c>
      <c r="G61" s="165">
        <f t="shared" si="6"/>
        <v>0</v>
      </c>
      <c r="H61" s="147">
        <f t="shared" si="7"/>
        <v>0</v>
      </c>
      <c r="I61" s="160">
        <f t="shared" si="0"/>
        <v>0</v>
      </c>
      <c r="J61" s="160"/>
      <c r="K61" s="335"/>
      <c r="L61" s="162">
        <f t="shared" si="1"/>
        <v>0</v>
      </c>
      <c r="M61" s="335"/>
      <c r="N61" s="162">
        <f t="shared" si="2"/>
        <v>0</v>
      </c>
      <c r="O61" s="162">
        <f t="shared" si="3"/>
        <v>0</v>
      </c>
      <c r="P61" s="4"/>
    </row>
    <row r="62" spans="2:16">
      <c r="B62" s="9" t="str">
        <f t="shared" si="8"/>
        <v/>
      </c>
      <c r="C62" s="157">
        <f>IF(D11="","-",+C61+1)</f>
        <v>2063</v>
      </c>
      <c r="D62" s="166">
        <f>IF(F61+SUM(E$17:E61)=D$10,F61,D$10-SUM(E$17:E61))</f>
        <v>0</v>
      </c>
      <c r="E62" s="164">
        <f t="shared" si="4"/>
        <v>0</v>
      </c>
      <c r="F62" s="163">
        <f t="shared" si="5"/>
        <v>0</v>
      </c>
      <c r="G62" s="165">
        <f t="shared" si="6"/>
        <v>0</v>
      </c>
      <c r="H62" s="147">
        <f t="shared" si="7"/>
        <v>0</v>
      </c>
      <c r="I62" s="160">
        <f t="shared" si="0"/>
        <v>0</v>
      </c>
      <c r="J62" s="160"/>
      <c r="K62" s="335"/>
      <c r="L62" s="162">
        <f t="shared" si="1"/>
        <v>0</v>
      </c>
      <c r="M62" s="335"/>
      <c r="N62" s="162">
        <f t="shared" si="2"/>
        <v>0</v>
      </c>
      <c r="O62" s="162">
        <f t="shared" si="3"/>
        <v>0</v>
      </c>
      <c r="P62" s="4"/>
    </row>
    <row r="63" spans="2:16">
      <c r="B63" s="9" t="str">
        <f t="shared" si="8"/>
        <v/>
      </c>
      <c r="C63" s="157">
        <f>IF(D11="","-",+C62+1)</f>
        <v>2064</v>
      </c>
      <c r="D63" s="166">
        <f>IF(F62+SUM(E$17:E62)=D$10,F62,D$10-SUM(E$17:E62))</f>
        <v>0</v>
      </c>
      <c r="E63" s="164">
        <f t="shared" si="4"/>
        <v>0</v>
      </c>
      <c r="F63" s="163">
        <f t="shared" si="5"/>
        <v>0</v>
      </c>
      <c r="G63" s="165">
        <f t="shared" si="6"/>
        <v>0</v>
      </c>
      <c r="H63" s="147">
        <f t="shared" si="7"/>
        <v>0</v>
      </c>
      <c r="I63" s="160">
        <f t="shared" si="0"/>
        <v>0</v>
      </c>
      <c r="J63" s="160"/>
      <c r="K63" s="335"/>
      <c r="L63" s="162">
        <f t="shared" si="1"/>
        <v>0</v>
      </c>
      <c r="M63" s="335"/>
      <c r="N63" s="162">
        <f t="shared" si="2"/>
        <v>0</v>
      </c>
      <c r="O63" s="162">
        <f t="shared" si="3"/>
        <v>0</v>
      </c>
      <c r="P63" s="4"/>
    </row>
    <row r="64" spans="2:16">
      <c r="B64" s="9" t="str">
        <f t="shared" si="8"/>
        <v/>
      </c>
      <c r="C64" s="157">
        <f>IF(D11="","-",+C63+1)</f>
        <v>2065</v>
      </c>
      <c r="D64" s="166">
        <f>IF(F63+SUM(E$17:E63)=D$10,F63,D$10-SUM(E$17:E63))</f>
        <v>0</v>
      </c>
      <c r="E64" s="164">
        <f t="shared" si="4"/>
        <v>0</v>
      </c>
      <c r="F64" s="163">
        <f t="shared" si="5"/>
        <v>0</v>
      </c>
      <c r="G64" s="165">
        <f t="shared" si="6"/>
        <v>0</v>
      </c>
      <c r="H64" s="147">
        <f t="shared" si="7"/>
        <v>0</v>
      </c>
      <c r="I64" s="160">
        <f t="shared" si="0"/>
        <v>0</v>
      </c>
      <c r="J64" s="160"/>
      <c r="K64" s="335"/>
      <c r="L64" s="162">
        <f t="shared" si="1"/>
        <v>0</v>
      </c>
      <c r="M64" s="335"/>
      <c r="N64" s="162">
        <f t="shared" si="2"/>
        <v>0</v>
      </c>
      <c r="O64" s="162">
        <f t="shared" si="3"/>
        <v>0</v>
      </c>
      <c r="P64" s="4"/>
    </row>
    <row r="65" spans="2:16">
      <c r="B65" s="9" t="str">
        <f t="shared" si="8"/>
        <v/>
      </c>
      <c r="C65" s="157">
        <f>IF(D11="","-",+C64+1)</f>
        <v>2066</v>
      </c>
      <c r="D65" s="166">
        <f>IF(F64+SUM(E$17:E64)=D$10,F64,D$10-SUM(E$17:E64))</f>
        <v>0</v>
      </c>
      <c r="E65" s="164">
        <f t="shared" si="4"/>
        <v>0</v>
      </c>
      <c r="F65" s="163">
        <f t="shared" si="5"/>
        <v>0</v>
      </c>
      <c r="G65" s="165">
        <f t="shared" si="6"/>
        <v>0</v>
      </c>
      <c r="H65" s="147">
        <f t="shared" si="7"/>
        <v>0</v>
      </c>
      <c r="I65" s="160">
        <f t="shared" si="0"/>
        <v>0</v>
      </c>
      <c r="J65" s="160"/>
      <c r="K65" s="335"/>
      <c r="L65" s="162">
        <f t="shared" si="1"/>
        <v>0</v>
      </c>
      <c r="M65" s="335"/>
      <c r="N65" s="162">
        <f t="shared" si="2"/>
        <v>0</v>
      </c>
      <c r="O65" s="162">
        <f t="shared" si="3"/>
        <v>0</v>
      </c>
      <c r="P65" s="4"/>
    </row>
    <row r="66" spans="2:16">
      <c r="B66" s="9" t="str">
        <f t="shared" si="8"/>
        <v/>
      </c>
      <c r="C66" s="157">
        <f>IF(D11="","-",+C65+1)</f>
        <v>2067</v>
      </c>
      <c r="D66" s="166">
        <f>IF(F65+SUM(E$17:E65)=D$10,F65,D$10-SUM(E$17:E65))</f>
        <v>0</v>
      </c>
      <c r="E66" s="164">
        <f t="shared" si="4"/>
        <v>0</v>
      </c>
      <c r="F66" s="163">
        <f t="shared" si="5"/>
        <v>0</v>
      </c>
      <c r="G66" s="165">
        <f t="shared" si="6"/>
        <v>0</v>
      </c>
      <c r="H66" s="147">
        <f t="shared" si="7"/>
        <v>0</v>
      </c>
      <c r="I66" s="160">
        <f t="shared" si="0"/>
        <v>0</v>
      </c>
      <c r="J66" s="160"/>
      <c r="K66" s="335"/>
      <c r="L66" s="162">
        <f t="shared" si="1"/>
        <v>0</v>
      </c>
      <c r="M66" s="335"/>
      <c r="N66" s="162">
        <f t="shared" si="2"/>
        <v>0</v>
      </c>
      <c r="O66" s="162">
        <f t="shared" si="3"/>
        <v>0</v>
      </c>
      <c r="P66" s="4"/>
    </row>
    <row r="67" spans="2:16">
      <c r="B67" s="9" t="str">
        <f t="shared" si="8"/>
        <v/>
      </c>
      <c r="C67" s="157">
        <f>IF(D11="","-",+C66+1)</f>
        <v>2068</v>
      </c>
      <c r="D67" s="166">
        <f>IF(F66+SUM(E$17:E66)=D$10,F66,D$10-SUM(E$17:E66))</f>
        <v>0</v>
      </c>
      <c r="E67" s="164">
        <f t="shared" si="4"/>
        <v>0</v>
      </c>
      <c r="F67" s="163">
        <f t="shared" si="5"/>
        <v>0</v>
      </c>
      <c r="G67" s="165">
        <f t="shared" si="6"/>
        <v>0</v>
      </c>
      <c r="H67" s="147">
        <f t="shared" si="7"/>
        <v>0</v>
      </c>
      <c r="I67" s="160">
        <f t="shared" si="0"/>
        <v>0</v>
      </c>
      <c r="J67" s="160"/>
      <c r="K67" s="335"/>
      <c r="L67" s="162">
        <f t="shared" si="1"/>
        <v>0</v>
      </c>
      <c r="M67" s="335"/>
      <c r="N67" s="162">
        <f t="shared" si="2"/>
        <v>0</v>
      </c>
      <c r="O67" s="162">
        <f t="shared" si="3"/>
        <v>0</v>
      </c>
      <c r="P67" s="4"/>
    </row>
    <row r="68" spans="2:16">
      <c r="B68" s="9" t="str">
        <f t="shared" si="8"/>
        <v/>
      </c>
      <c r="C68" s="157">
        <f>IF(D11="","-",+C67+1)</f>
        <v>2069</v>
      </c>
      <c r="D68" s="166">
        <f>IF(F67+SUM(E$17:E67)=D$10,F67,D$10-SUM(E$17:E67))</f>
        <v>0</v>
      </c>
      <c r="E68" s="164">
        <f t="shared" si="4"/>
        <v>0</v>
      </c>
      <c r="F68" s="163">
        <f t="shared" si="5"/>
        <v>0</v>
      </c>
      <c r="G68" s="165">
        <f t="shared" si="6"/>
        <v>0</v>
      </c>
      <c r="H68" s="147">
        <f t="shared" si="7"/>
        <v>0</v>
      </c>
      <c r="I68" s="160">
        <f t="shared" si="0"/>
        <v>0</v>
      </c>
      <c r="J68" s="160"/>
      <c r="K68" s="335"/>
      <c r="L68" s="162">
        <f t="shared" si="1"/>
        <v>0</v>
      </c>
      <c r="M68" s="335"/>
      <c r="N68" s="162">
        <f t="shared" si="2"/>
        <v>0</v>
      </c>
      <c r="O68" s="162">
        <f t="shared" si="3"/>
        <v>0</v>
      </c>
      <c r="P68" s="4"/>
    </row>
    <row r="69" spans="2:16">
      <c r="B69" s="9" t="str">
        <f t="shared" si="8"/>
        <v/>
      </c>
      <c r="C69" s="157">
        <f>IF(D11="","-",+C68+1)</f>
        <v>2070</v>
      </c>
      <c r="D69" s="166">
        <f>IF(F68+SUM(E$17:E68)=D$10,F68,D$10-SUM(E$17:E68))</f>
        <v>0</v>
      </c>
      <c r="E69" s="164">
        <f t="shared" si="4"/>
        <v>0</v>
      </c>
      <c r="F69" s="163">
        <f t="shared" si="5"/>
        <v>0</v>
      </c>
      <c r="G69" s="165">
        <f t="shared" si="6"/>
        <v>0</v>
      </c>
      <c r="H69" s="147">
        <f t="shared" si="7"/>
        <v>0</v>
      </c>
      <c r="I69" s="160">
        <f t="shared" si="0"/>
        <v>0</v>
      </c>
      <c r="J69" s="160"/>
      <c r="K69" s="335"/>
      <c r="L69" s="162">
        <f t="shared" si="1"/>
        <v>0</v>
      </c>
      <c r="M69" s="335"/>
      <c r="N69" s="162">
        <f t="shared" si="2"/>
        <v>0</v>
      </c>
      <c r="O69" s="162">
        <f t="shared" si="3"/>
        <v>0</v>
      </c>
      <c r="P69" s="4"/>
    </row>
    <row r="70" spans="2:16">
      <c r="B70" s="9" t="str">
        <f t="shared" si="8"/>
        <v/>
      </c>
      <c r="C70" s="157">
        <f>IF(D11="","-",+C69+1)</f>
        <v>2071</v>
      </c>
      <c r="D70" s="166">
        <f>IF(F69+SUM(E$17:E69)=D$10,F69,D$10-SUM(E$17:E69))</f>
        <v>0</v>
      </c>
      <c r="E70" s="164">
        <f t="shared" si="4"/>
        <v>0</v>
      </c>
      <c r="F70" s="163">
        <f t="shared" si="5"/>
        <v>0</v>
      </c>
      <c r="G70" s="165">
        <f t="shared" si="6"/>
        <v>0</v>
      </c>
      <c r="H70" s="147">
        <f t="shared" si="7"/>
        <v>0</v>
      </c>
      <c r="I70" s="160">
        <f t="shared" si="0"/>
        <v>0</v>
      </c>
      <c r="J70" s="160"/>
      <c r="K70" s="335"/>
      <c r="L70" s="162">
        <f t="shared" si="1"/>
        <v>0</v>
      </c>
      <c r="M70" s="335"/>
      <c r="N70" s="162">
        <f t="shared" si="2"/>
        <v>0</v>
      </c>
      <c r="O70" s="162">
        <f t="shared" si="3"/>
        <v>0</v>
      </c>
      <c r="P70" s="4"/>
    </row>
    <row r="71" spans="2:16">
      <c r="B71" s="9" t="str">
        <f t="shared" si="8"/>
        <v/>
      </c>
      <c r="C71" s="157">
        <f>IF(D11="","-",+C70+1)</f>
        <v>2072</v>
      </c>
      <c r="D71" s="166">
        <f>IF(F70+SUM(E$17:E70)=D$10,F70,D$10-SUM(E$17:E70))</f>
        <v>0</v>
      </c>
      <c r="E71" s="164">
        <f t="shared" si="4"/>
        <v>0</v>
      </c>
      <c r="F71" s="163">
        <f t="shared" si="5"/>
        <v>0</v>
      </c>
      <c r="G71" s="165">
        <f t="shared" si="6"/>
        <v>0</v>
      </c>
      <c r="H71" s="147">
        <f t="shared" si="7"/>
        <v>0</v>
      </c>
      <c r="I71" s="160">
        <f t="shared" si="0"/>
        <v>0</v>
      </c>
      <c r="J71" s="160"/>
      <c r="K71" s="335"/>
      <c r="L71" s="162">
        <f t="shared" si="1"/>
        <v>0</v>
      </c>
      <c r="M71" s="335"/>
      <c r="N71" s="162">
        <f t="shared" si="2"/>
        <v>0</v>
      </c>
      <c r="O71" s="162">
        <f t="shared" si="3"/>
        <v>0</v>
      </c>
      <c r="P71" s="4"/>
    </row>
    <row r="72" spans="2:16" ht="13.5" thickBot="1">
      <c r="B72" s="9" t="str">
        <f t="shared" si="8"/>
        <v/>
      </c>
      <c r="C72" s="168">
        <f>IF(D11="","-",+C71+1)</f>
        <v>2073</v>
      </c>
      <c r="D72" s="462">
        <f>IF(F71+SUM(E$17:E71)=D$10,F71,D$10-SUM(E$17:E71))</f>
        <v>0</v>
      </c>
      <c r="E72" s="170">
        <f t="shared" si="4"/>
        <v>0</v>
      </c>
      <c r="F72" s="169">
        <f t="shared" si="5"/>
        <v>0</v>
      </c>
      <c r="G72" s="377">
        <f t="shared" si="6"/>
        <v>0</v>
      </c>
      <c r="H72" s="130">
        <f t="shared" si="7"/>
        <v>0</v>
      </c>
      <c r="I72" s="172">
        <f t="shared" si="0"/>
        <v>0</v>
      </c>
      <c r="J72" s="160"/>
      <c r="K72" s="336"/>
      <c r="L72" s="173">
        <f t="shared" si="1"/>
        <v>0</v>
      </c>
      <c r="M72" s="336"/>
      <c r="N72" s="173">
        <f t="shared" si="2"/>
        <v>0</v>
      </c>
      <c r="O72" s="173">
        <f t="shared" si="3"/>
        <v>0</v>
      </c>
      <c r="P72" s="4"/>
    </row>
    <row r="73" spans="2:16">
      <c r="C73" s="158" t="s">
        <v>72</v>
      </c>
      <c r="D73" s="115"/>
      <c r="E73" s="115">
        <f>SUM(E17:E72)</f>
        <v>1344938.9999999998</v>
      </c>
      <c r="F73" s="115"/>
      <c r="G73" s="115">
        <f>SUM(G17:G72)</f>
        <v>4456916.8190606497</v>
      </c>
      <c r="H73" s="115">
        <f>SUM(H17:H72)</f>
        <v>4456916.8190606497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25 of 28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2018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94880.774589956171</v>
      </c>
      <c r="N87" s="202">
        <f>IF(J92&lt;D11,0,VLOOKUP(J92,C17:O72,11))</f>
        <v>94880.774589956171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67545.501753910357</v>
      </c>
      <c r="N88" s="204">
        <f>IF(J92&lt;D11,0,VLOOKUP(J92,C99:P154,7))</f>
        <v>67545.501753910357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Duncan-Comanche Tap 69 KV Rebuild and Duncan station upgrades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-27335.272836045813</v>
      </c>
      <c r="N89" s="207">
        <f>+N88-N87</f>
        <v>-27335.272836045813</v>
      </c>
      <c r="O89" s="208">
        <f>+O88-O87</f>
        <v>0</v>
      </c>
      <c r="P89" s="1"/>
    </row>
    <row r="90" spans="1:16" ht="13.5" thickBot="1">
      <c r="C90" s="174"/>
      <c r="D90" s="177">
        <f>D8</f>
        <v>0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>
        <f>+D9</f>
        <v>0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222">
        <f>IF(D11=I10,0,D10)</f>
        <v>1344939</v>
      </c>
      <c r="E92" s="22" t="s">
        <v>89</v>
      </c>
      <c r="H92" s="139"/>
      <c r="I92" s="139"/>
      <c r="J92" s="140">
        <f>+'PSO.WS.G.BPU.ATRR.True-up'!M16</f>
        <v>2018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2018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5</v>
      </c>
      <c r="E94" s="141" t="s">
        <v>51</v>
      </c>
      <c r="F94" s="139"/>
      <c r="G94" s="139"/>
      <c r="J94" s="145">
        <f>'PSO.WS.G.BPU.ATRR.True-up'!$F$81</f>
        <v>0.10273556682691798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43</v>
      </c>
      <c r="E95" s="141" t="s">
        <v>54</v>
      </c>
      <c r="F95" s="139"/>
      <c r="G95" s="139"/>
      <c r="J95" s="145">
        <f>IF(H87="",J94,'PSO.WS.G.BPU.ATRR.True-up'!$F$80)</f>
        <v>0.10273556682691798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31278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277</v>
      </c>
      <c r="I97" s="339" t="s">
        <v>278</v>
      </c>
      <c r="J97" s="214" t="s">
        <v>93</v>
      </c>
      <c r="K97" s="216"/>
      <c r="L97" s="151" t="s">
        <v>97</v>
      </c>
      <c r="M97" s="151" t="s">
        <v>94</v>
      </c>
      <c r="N97" s="151" t="s">
        <v>97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2018</v>
      </c>
      <c r="D99" s="158">
        <v>0</v>
      </c>
      <c r="E99" s="165">
        <v>0</v>
      </c>
      <c r="F99" s="163">
        <v>1314939</v>
      </c>
      <c r="G99" s="218">
        <v>657469.5</v>
      </c>
      <c r="H99" s="218">
        <v>67545.501753910357</v>
      </c>
      <c r="I99" s="218">
        <v>67545.501753910357</v>
      </c>
      <c r="J99" s="162">
        <f t="shared" ref="J99:J130" si="9">+I99-H99</f>
        <v>0</v>
      </c>
      <c r="K99" s="162"/>
      <c r="L99" s="334"/>
      <c r="M99" s="161">
        <f t="shared" ref="M99:M130" si="10">IF(L99&lt;&gt;0,+H99-L99,0)</f>
        <v>0</v>
      </c>
      <c r="N99" s="334"/>
      <c r="O99" s="161">
        <f t="shared" ref="O99:O130" si="11">IF(N99&lt;&gt;0,+I99-N99,0)</f>
        <v>0</v>
      </c>
      <c r="P99" s="161">
        <f t="shared" ref="P99:P130" si="12">+O99-M99</f>
        <v>0</v>
      </c>
    </row>
    <row r="100" spans="1:16">
      <c r="B100" s="9" t="str">
        <f>IF(D100=F99,"","IU")</f>
        <v>IU</v>
      </c>
      <c r="C100" s="157">
        <f>IF(D93="","-",+C99+1)</f>
        <v>2019</v>
      </c>
      <c r="D100" s="158">
        <f>IF(F99+SUM(E$99:E99)=D$92,F99,D$92-SUM(E$99:E99))</f>
        <v>1344939</v>
      </c>
      <c r="E100" s="164">
        <f>IF(+J$96&lt;F99,J$96,D100)</f>
        <v>31278</v>
      </c>
      <c r="F100" s="163">
        <f>+D100-E100</f>
        <v>1313661</v>
      </c>
      <c r="G100" s="163">
        <f>+(F100+D100)/2</f>
        <v>1329300</v>
      </c>
      <c r="H100" s="333">
        <f t="shared" ref="H100:H154" si="13">+J$94*G100+E100</f>
        <v>167844.38898302207</v>
      </c>
      <c r="I100" s="344">
        <f t="shared" ref="I100:I154" si="14">+J$95*G100+E100</f>
        <v>167844.38898302207</v>
      </c>
      <c r="J100" s="162">
        <f t="shared" si="9"/>
        <v>0</v>
      </c>
      <c r="K100" s="162"/>
      <c r="L100" s="335"/>
      <c r="M100" s="162">
        <f t="shared" si="10"/>
        <v>0</v>
      </c>
      <c r="N100" s="335"/>
      <c r="O100" s="162">
        <f t="shared" si="11"/>
        <v>0</v>
      </c>
      <c r="P100" s="162">
        <f t="shared" si="12"/>
        <v>0</v>
      </c>
    </row>
    <row r="101" spans="1:16">
      <c r="B101" s="9" t="str">
        <f t="shared" ref="B101:B154" si="15">IF(D101=F100,"","IU")</f>
        <v/>
      </c>
      <c r="C101" s="157">
        <f>IF(D93="","-",+C100+1)</f>
        <v>2020</v>
      </c>
      <c r="D101" s="158">
        <f>IF(F100+SUM(E$99:E100)=D$92,F100,D$92-SUM(E$99:E100))</f>
        <v>1313661</v>
      </c>
      <c r="E101" s="164">
        <f t="shared" ref="E101:E154" si="16">IF(+J$96&lt;F100,J$96,D101)</f>
        <v>31278</v>
      </c>
      <c r="F101" s="163">
        <f t="shared" ref="F101:F154" si="17">+D101-E101</f>
        <v>1282383</v>
      </c>
      <c r="G101" s="163">
        <f t="shared" ref="G101:G154" si="18">+(F101+D101)/2</f>
        <v>1298022</v>
      </c>
      <c r="H101" s="333">
        <f t="shared" si="13"/>
        <v>164631.02592380974</v>
      </c>
      <c r="I101" s="344">
        <f t="shared" si="14"/>
        <v>164631.02592380974</v>
      </c>
      <c r="J101" s="162">
        <f t="shared" si="9"/>
        <v>0</v>
      </c>
      <c r="K101" s="162"/>
      <c r="L101" s="335"/>
      <c r="M101" s="162">
        <f t="shared" si="10"/>
        <v>0</v>
      </c>
      <c r="N101" s="335"/>
      <c r="O101" s="162">
        <f t="shared" si="11"/>
        <v>0</v>
      </c>
      <c r="P101" s="162">
        <f t="shared" si="12"/>
        <v>0</v>
      </c>
    </row>
    <row r="102" spans="1:16">
      <c r="B102" s="9" t="str">
        <f t="shared" si="15"/>
        <v/>
      </c>
      <c r="C102" s="157">
        <f>IF(D93="","-",+C101+1)</f>
        <v>2021</v>
      </c>
      <c r="D102" s="158">
        <f>IF(F101+SUM(E$99:E101)=D$92,F101,D$92-SUM(E$99:E101))</f>
        <v>1282383</v>
      </c>
      <c r="E102" s="164">
        <f t="shared" si="16"/>
        <v>31278</v>
      </c>
      <c r="F102" s="163">
        <f t="shared" si="17"/>
        <v>1251105</v>
      </c>
      <c r="G102" s="163">
        <f t="shared" si="18"/>
        <v>1266744</v>
      </c>
      <c r="H102" s="333">
        <f t="shared" si="13"/>
        <v>161417.6628645974</v>
      </c>
      <c r="I102" s="344">
        <f t="shared" si="14"/>
        <v>161417.6628645974</v>
      </c>
      <c r="J102" s="162">
        <f t="shared" si="9"/>
        <v>0</v>
      </c>
      <c r="K102" s="162"/>
      <c r="L102" s="335"/>
      <c r="M102" s="162">
        <f t="shared" si="10"/>
        <v>0</v>
      </c>
      <c r="N102" s="335"/>
      <c r="O102" s="162">
        <f t="shared" si="11"/>
        <v>0</v>
      </c>
      <c r="P102" s="162">
        <f t="shared" si="12"/>
        <v>0</v>
      </c>
    </row>
    <row r="103" spans="1:16">
      <c r="B103" s="9" t="str">
        <f t="shared" si="15"/>
        <v/>
      </c>
      <c r="C103" s="157">
        <f>IF(D93="","-",+C102+1)</f>
        <v>2022</v>
      </c>
      <c r="D103" s="158">
        <f>IF(F102+SUM(E$99:E102)=D$92,F102,D$92-SUM(E$99:E102))</f>
        <v>1251105</v>
      </c>
      <c r="E103" s="164">
        <f t="shared" si="16"/>
        <v>31278</v>
      </c>
      <c r="F103" s="163">
        <f t="shared" si="17"/>
        <v>1219827</v>
      </c>
      <c r="G103" s="163">
        <f t="shared" si="18"/>
        <v>1235466</v>
      </c>
      <c r="H103" s="333">
        <f t="shared" si="13"/>
        <v>158204.29980538506</v>
      </c>
      <c r="I103" s="344">
        <f t="shared" si="14"/>
        <v>158204.29980538506</v>
      </c>
      <c r="J103" s="162">
        <f t="shared" si="9"/>
        <v>0</v>
      </c>
      <c r="K103" s="162"/>
      <c r="L103" s="335"/>
      <c r="M103" s="162">
        <f t="shared" si="10"/>
        <v>0</v>
      </c>
      <c r="N103" s="335"/>
      <c r="O103" s="162">
        <f t="shared" si="11"/>
        <v>0</v>
      </c>
      <c r="P103" s="162">
        <f t="shared" si="12"/>
        <v>0</v>
      </c>
    </row>
    <row r="104" spans="1:16">
      <c r="B104" s="9" t="str">
        <f t="shared" si="15"/>
        <v/>
      </c>
      <c r="C104" s="157">
        <f>IF(D93="","-",+C103+1)</f>
        <v>2023</v>
      </c>
      <c r="D104" s="158">
        <f>IF(F103+SUM(E$99:E103)=D$92,F103,D$92-SUM(E$99:E103))</f>
        <v>1219827</v>
      </c>
      <c r="E104" s="164">
        <f t="shared" si="16"/>
        <v>31278</v>
      </c>
      <c r="F104" s="163">
        <f t="shared" si="17"/>
        <v>1188549</v>
      </c>
      <c r="G104" s="163">
        <f t="shared" si="18"/>
        <v>1204188</v>
      </c>
      <c r="H104" s="333">
        <f t="shared" si="13"/>
        <v>154990.93674617272</v>
      </c>
      <c r="I104" s="344">
        <f t="shared" si="14"/>
        <v>154990.93674617272</v>
      </c>
      <c r="J104" s="162">
        <f t="shared" si="9"/>
        <v>0</v>
      </c>
      <c r="K104" s="162"/>
      <c r="L104" s="335"/>
      <c r="M104" s="162">
        <f t="shared" si="10"/>
        <v>0</v>
      </c>
      <c r="N104" s="335"/>
      <c r="O104" s="162">
        <f t="shared" si="11"/>
        <v>0</v>
      </c>
      <c r="P104" s="162">
        <f t="shared" si="12"/>
        <v>0</v>
      </c>
    </row>
    <row r="105" spans="1:16">
      <c r="B105" s="9" t="str">
        <f t="shared" si="15"/>
        <v/>
      </c>
      <c r="C105" s="157">
        <f>IF(D93="","-",+C104+1)</f>
        <v>2024</v>
      </c>
      <c r="D105" s="158">
        <f>IF(F104+SUM(E$99:E104)=D$92,F104,D$92-SUM(E$99:E104))</f>
        <v>1188549</v>
      </c>
      <c r="E105" s="164">
        <f t="shared" si="16"/>
        <v>31278</v>
      </c>
      <c r="F105" s="163">
        <f t="shared" si="17"/>
        <v>1157271</v>
      </c>
      <c r="G105" s="163">
        <f t="shared" si="18"/>
        <v>1172910</v>
      </c>
      <c r="H105" s="333">
        <f t="shared" si="13"/>
        <v>151777.57368696039</v>
      </c>
      <c r="I105" s="344">
        <f t="shared" si="14"/>
        <v>151777.57368696039</v>
      </c>
      <c r="J105" s="162">
        <f t="shared" si="9"/>
        <v>0</v>
      </c>
      <c r="K105" s="162"/>
      <c r="L105" s="335"/>
      <c r="M105" s="162">
        <f t="shared" si="10"/>
        <v>0</v>
      </c>
      <c r="N105" s="335"/>
      <c r="O105" s="162">
        <f t="shared" si="11"/>
        <v>0</v>
      </c>
      <c r="P105" s="162">
        <f t="shared" si="12"/>
        <v>0</v>
      </c>
    </row>
    <row r="106" spans="1:16">
      <c r="B106" s="9" t="str">
        <f t="shared" si="15"/>
        <v/>
      </c>
      <c r="C106" s="157">
        <f>IF(D93="","-",+C105+1)</f>
        <v>2025</v>
      </c>
      <c r="D106" s="158">
        <f>IF(F105+SUM(E$99:E105)=D$92,F105,D$92-SUM(E$99:E105))</f>
        <v>1157271</v>
      </c>
      <c r="E106" s="164">
        <f t="shared" si="16"/>
        <v>31278</v>
      </c>
      <c r="F106" s="163">
        <f t="shared" si="17"/>
        <v>1125993</v>
      </c>
      <c r="G106" s="163">
        <f t="shared" si="18"/>
        <v>1141632</v>
      </c>
      <c r="H106" s="333">
        <f t="shared" si="13"/>
        <v>148564.21062774802</v>
      </c>
      <c r="I106" s="344">
        <f t="shared" si="14"/>
        <v>148564.21062774802</v>
      </c>
      <c r="J106" s="162">
        <f t="shared" si="9"/>
        <v>0</v>
      </c>
      <c r="K106" s="162"/>
      <c r="L106" s="335"/>
      <c r="M106" s="162">
        <f t="shared" si="10"/>
        <v>0</v>
      </c>
      <c r="N106" s="335"/>
      <c r="O106" s="162">
        <f t="shared" si="11"/>
        <v>0</v>
      </c>
      <c r="P106" s="162">
        <f t="shared" si="12"/>
        <v>0</v>
      </c>
    </row>
    <row r="107" spans="1:16">
      <c r="B107" s="9" t="str">
        <f t="shared" si="15"/>
        <v/>
      </c>
      <c r="C107" s="157">
        <f>IF(D93="","-",+C106+1)</f>
        <v>2026</v>
      </c>
      <c r="D107" s="158">
        <f>IF(F106+SUM(E$99:E106)=D$92,F106,D$92-SUM(E$99:E106))</f>
        <v>1125993</v>
      </c>
      <c r="E107" s="164">
        <f t="shared" si="16"/>
        <v>31278</v>
      </c>
      <c r="F107" s="163">
        <f t="shared" si="17"/>
        <v>1094715</v>
      </c>
      <c r="G107" s="163">
        <f t="shared" si="18"/>
        <v>1110354</v>
      </c>
      <c r="H107" s="333">
        <f t="shared" si="13"/>
        <v>145350.84756853568</v>
      </c>
      <c r="I107" s="344">
        <f t="shared" si="14"/>
        <v>145350.84756853568</v>
      </c>
      <c r="J107" s="162">
        <f t="shared" si="9"/>
        <v>0</v>
      </c>
      <c r="K107" s="162"/>
      <c r="L107" s="335"/>
      <c r="M107" s="162">
        <f t="shared" si="10"/>
        <v>0</v>
      </c>
      <c r="N107" s="335"/>
      <c r="O107" s="162">
        <f t="shared" si="11"/>
        <v>0</v>
      </c>
      <c r="P107" s="162">
        <f t="shared" si="12"/>
        <v>0</v>
      </c>
    </row>
    <row r="108" spans="1:16">
      <c r="B108" s="9" t="str">
        <f t="shared" si="15"/>
        <v/>
      </c>
      <c r="C108" s="157">
        <f>IF(D93="","-",+C107+1)</f>
        <v>2027</v>
      </c>
      <c r="D108" s="158">
        <f>IF(F107+SUM(E$99:E107)=D$92,F107,D$92-SUM(E$99:E107))</f>
        <v>1094715</v>
      </c>
      <c r="E108" s="164">
        <f t="shared" si="16"/>
        <v>31278</v>
      </c>
      <c r="F108" s="163">
        <f t="shared" si="17"/>
        <v>1063437</v>
      </c>
      <c r="G108" s="163">
        <f t="shared" si="18"/>
        <v>1079076</v>
      </c>
      <c r="H108" s="333">
        <f t="shared" si="13"/>
        <v>142137.48450932335</v>
      </c>
      <c r="I108" s="344">
        <f t="shared" si="14"/>
        <v>142137.48450932335</v>
      </c>
      <c r="J108" s="162">
        <f t="shared" si="9"/>
        <v>0</v>
      </c>
      <c r="K108" s="162"/>
      <c r="L108" s="335"/>
      <c r="M108" s="162">
        <f t="shared" si="10"/>
        <v>0</v>
      </c>
      <c r="N108" s="335"/>
      <c r="O108" s="162">
        <f t="shared" si="11"/>
        <v>0</v>
      </c>
      <c r="P108" s="162">
        <f t="shared" si="12"/>
        <v>0</v>
      </c>
    </row>
    <row r="109" spans="1:16">
      <c r="B109" s="9" t="str">
        <f t="shared" si="15"/>
        <v/>
      </c>
      <c r="C109" s="157">
        <f>IF(D93="","-",+C108+1)</f>
        <v>2028</v>
      </c>
      <c r="D109" s="158">
        <f>IF(F108+SUM(E$99:E108)=D$92,F108,D$92-SUM(E$99:E108))</f>
        <v>1063437</v>
      </c>
      <c r="E109" s="164">
        <f t="shared" si="16"/>
        <v>31278</v>
      </c>
      <c r="F109" s="163">
        <f t="shared" si="17"/>
        <v>1032159</v>
      </c>
      <c r="G109" s="163">
        <f t="shared" si="18"/>
        <v>1047798</v>
      </c>
      <c r="H109" s="333">
        <f t="shared" si="13"/>
        <v>138924.12145011101</v>
      </c>
      <c r="I109" s="344">
        <f t="shared" si="14"/>
        <v>138924.12145011101</v>
      </c>
      <c r="J109" s="162">
        <f t="shared" si="9"/>
        <v>0</v>
      </c>
      <c r="K109" s="162"/>
      <c r="L109" s="335"/>
      <c r="M109" s="162">
        <f t="shared" si="10"/>
        <v>0</v>
      </c>
      <c r="N109" s="335"/>
      <c r="O109" s="162">
        <f t="shared" si="11"/>
        <v>0</v>
      </c>
      <c r="P109" s="162">
        <f t="shared" si="12"/>
        <v>0</v>
      </c>
    </row>
    <row r="110" spans="1:16">
      <c r="B110" s="9" t="str">
        <f t="shared" si="15"/>
        <v/>
      </c>
      <c r="C110" s="157">
        <f>IF(D93="","-",+C109+1)</f>
        <v>2029</v>
      </c>
      <c r="D110" s="158">
        <f>IF(F109+SUM(E$99:E109)=D$92,F109,D$92-SUM(E$99:E109))</f>
        <v>1032159</v>
      </c>
      <c r="E110" s="164">
        <f t="shared" si="16"/>
        <v>31278</v>
      </c>
      <c r="F110" s="163">
        <f t="shared" si="17"/>
        <v>1000881</v>
      </c>
      <c r="G110" s="163">
        <f t="shared" si="18"/>
        <v>1016520</v>
      </c>
      <c r="H110" s="333">
        <f t="shared" si="13"/>
        <v>135710.75839089867</v>
      </c>
      <c r="I110" s="344">
        <f t="shared" si="14"/>
        <v>135710.75839089867</v>
      </c>
      <c r="J110" s="162">
        <f t="shared" si="9"/>
        <v>0</v>
      </c>
      <c r="K110" s="162"/>
      <c r="L110" s="335"/>
      <c r="M110" s="162">
        <f t="shared" si="10"/>
        <v>0</v>
      </c>
      <c r="N110" s="335"/>
      <c r="O110" s="162">
        <f t="shared" si="11"/>
        <v>0</v>
      </c>
      <c r="P110" s="162">
        <f t="shared" si="12"/>
        <v>0</v>
      </c>
    </row>
    <row r="111" spans="1:16">
      <c r="B111" s="9" t="str">
        <f t="shared" si="15"/>
        <v/>
      </c>
      <c r="C111" s="157">
        <f>IF(D93="","-",+C110+1)</f>
        <v>2030</v>
      </c>
      <c r="D111" s="158">
        <f>IF(F110+SUM(E$99:E110)=D$92,F110,D$92-SUM(E$99:E110))</f>
        <v>1000881</v>
      </c>
      <c r="E111" s="164">
        <f t="shared" si="16"/>
        <v>31278</v>
      </c>
      <c r="F111" s="163">
        <f t="shared" si="17"/>
        <v>969603</v>
      </c>
      <c r="G111" s="163">
        <f t="shared" si="18"/>
        <v>985242</v>
      </c>
      <c r="H111" s="333">
        <f t="shared" si="13"/>
        <v>132497.3953316863</v>
      </c>
      <c r="I111" s="344">
        <f t="shared" si="14"/>
        <v>132497.3953316863</v>
      </c>
      <c r="J111" s="162">
        <f t="shared" si="9"/>
        <v>0</v>
      </c>
      <c r="K111" s="162"/>
      <c r="L111" s="335"/>
      <c r="M111" s="162">
        <f t="shared" si="10"/>
        <v>0</v>
      </c>
      <c r="N111" s="335"/>
      <c r="O111" s="162">
        <f t="shared" si="11"/>
        <v>0</v>
      </c>
      <c r="P111" s="162">
        <f t="shared" si="12"/>
        <v>0</v>
      </c>
    </row>
    <row r="112" spans="1:16">
      <c r="B112" s="9" t="str">
        <f t="shared" si="15"/>
        <v/>
      </c>
      <c r="C112" s="157">
        <f>IF(D93="","-",+C111+1)</f>
        <v>2031</v>
      </c>
      <c r="D112" s="158">
        <f>IF(F111+SUM(E$99:E111)=D$92,F111,D$92-SUM(E$99:E111))</f>
        <v>969603</v>
      </c>
      <c r="E112" s="164">
        <f t="shared" si="16"/>
        <v>31278</v>
      </c>
      <c r="F112" s="163">
        <f t="shared" si="17"/>
        <v>938325</v>
      </c>
      <c r="G112" s="163">
        <f t="shared" si="18"/>
        <v>953964</v>
      </c>
      <c r="H112" s="333">
        <f t="shared" si="13"/>
        <v>129284.03227247398</v>
      </c>
      <c r="I112" s="344">
        <f t="shared" si="14"/>
        <v>129284.03227247398</v>
      </c>
      <c r="J112" s="162">
        <f t="shared" si="9"/>
        <v>0</v>
      </c>
      <c r="K112" s="162"/>
      <c r="L112" s="335"/>
      <c r="M112" s="162">
        <f t="shared" si="10"/>
        <v>0</v>
      </c>
      <c r="N112" s="335"/>
      <c r="O112" s="162">
        <f t="shared" si="11"/>
        <v>0</v>
      </c>
      <c r="P112" s="162">
        <f t="shared" si="12"/>
        <v>0</v>
      </c>
    </row>
    <row r="113" spans="2:16">
      <c r="B113" s="9" t="str">
        <f t="shared" si="15"/>
        <v/>
      </c>
      <c r="C113" s="157">
        <f>IF(D93="","-",+C112+1)</f>
        <v>2032</v>
      </c>
      <c r="D113" s="158">
        <f>IF(F112+SUM(E$99:E112)=D$92,F112,D$92-SUM(E$99:E112))</f>
        <v>938325</v>
      </c>
      <c r="E113" s="164">
        <f t="shared" si="16"/>
        <v>31278</v>
      </c>
      <c r="F113" s="163">
        <f t="shared" si="17"/>
        <v>907047</v>
      </c>
      <c r="G113" s="163">
        <f t="shared" si="18"/>
        <v>922686</v>
      </c>
      <c r="H113" s="333">
        <f t="shared" si="13"/>
        <v>126070.66921326164</v>
      </c>
      <c r="I113" s="344">
        <f t="shared" si="14"/>
        <v>126070.66921326164</v>
      </c>
      <c r="J113" s="162">
        <f t="shared" si="9"/>
        <v>0</v>
      </c>
      <c r="K113" s="162"/>
      <c r="L113" s="335"/>
      <c r="M113" s="162">
        <f t="shared" si="10"/>
        <v>0</v>
      </c>
      <c r="N113" s="335"/>
      <c r="O113" s="162">
        <f t="shared" si="11"/>
        <v>0</v>
      </c>
      <c r="P113" s="162">
        <f t="shared" si="12"/>
        <v>0</v>
      </c>
    </row>
    <row r="114" spans="2:16">
      <c r="B114" s="9" t="str">
        <f t="shared" si="15"/>
        <v/>
      </c>
      <c r="C114" s="157">
        <f>IF(D93="","-",+C113+1)</f>
        <v>2033</v>
      </c>
      <c r="D114" s="158">
        <f>IF(F113+SUM(E$99:E113)=D$92,F113,D$92-SUM(E$99:E113))</f>
        <v>907047</v>
      </c>
      <c r="E114" s="164">
        <f t="shared" si="16"/>
        <v>31278</v>
      </c>
      <c r="F114" s="163">
        <f t="shared" si="17"/>
        <v>875769</v>
      </c>
      <c r="G114" s="163">
        <f t="shared" si="18"/>
        <v>891408</v>
      </c>
      <c r="H114" s="333">
        <f t="shared" si="13"/>
        <v>122857.30615404931</v>
      </c>
      <c r="I114" s="344">
        <f t="shared" si="14"/>
        <v>122857.30615404931</v>
      </c>
      <c r="J114" s="162">
        <f t="shared" si="9"/>
        <v>0</v>
      </c>
      <c r="K114" s="162"/>
      <c r="L114" s="335"/>
      <c r="M114" s="162">
        <f t="shared" si="10"/>
        <v>0</v>
      </c>
      <c r="N114" s="335"/>
      <c r="O114" s="162">
        <f t="shared" si="11"/>
        <v>0</v>
      </c>
      <c r="P114" s="162">
        <f t="shared" si="12"/>
        <v>0</v>
      </c>
    </row>
    <row r="115" spans="2:16">
      <c r="B115" s="9" t="str">
        <f t="shared" si="15"/>
        <v/>
      </c>
      <c r="C115" s="157">
        <f>IF(D93="","-",+C114+1)</f>
        <v>2034</v>
      </c>
      <c r="D115" s="158">
        <f>IF(F114+SUM(E$99:E114)=D$92,F114,D$92-SUM(E$99:E114))</f>
        <v>875769</v>
      </c>
      <c r="E115" s="164">
        <f t="shared" si="16"/>
        <v>31278</v>
      </c>
      <c r="F115" s="163">
        <f t="shared" si="17"/>
        <v>844491</v>
      </c>
      <c r="G115" s="163">
        <f t="shared" si="18"/>
        <v>860130</v>
      </c>
      <c r="H115" s="333">
        <f t="shared" si="13"/>
        <v>119643.94309483696</v>
      </c>
      <c r="I115" s="344">
        <f t="shared" si="14"/>
        <v>119643.94309483696</v>
      </c>
      <c r="J115" s="162">
        <f t="shared" si="9"/>
        <v>0</v>
      </c>
      <c r="K115" s="162"/>
      <c r="L115" s="335"/>
      <c r="M115" s="162">
        <f t="shared" si="10"/>
        <v>0</v>
      </c>
      <c r="N115" s="335"/>
      <c r="O115" s="162">
        <f t="shared" si="11"/>
        <v>0</v>
      </c>
      <c r="P115" s="162">
        <f t="shared" si="12"/>
        <v>0</v>
      </c>
    </row>
    <row r="116" spans="2:16">
      <c r="B116" s="9" t="str">
        <f t="shared" si="15"/>
        <v/>
      </c>
      <c r="C116" s="157">
        <f>IF(D93="","-",+C115+1)</f>
        <v>2035</v>
      </c>
      <c r="D116" s="158">
        <f>IF(F115+SUM(E$99:E115)=D$92,F115,D$92-SUM(E$99:E115))</f>
        <v>844491</v>
      </c>
      <c r="E116" s="164">
        <f t="shared" si="16"/>
        <v>31278</v>
      </c>
      <c r="F116" s="163">
        <f t="shared" si="17"/>
        <v>813213</v>
      </c>
      <c r="G116" s="163">
        <f t="shared" si="18"/>
        <v>828852</v>
      </c>
      <c r="H116" s="333">
        <f t="shared" si="13"/>
        <v>116430.58003562462</v>
      </c>
      <c r="I116" s="344">
        <f t="shared" si="14"/>
        <v>116430.58003562462</v>
      </c>
      <c r="J116" s="162">
        <f t="shared" si="9"/>
        <v>0</v>
      </c>
      <c r="K116" s="162"/>
      <c r="L116" s="335"/>
      <c r="M116" s="162">
        <f t="shared" si="10"/>
        <v>0</v>
      </c>
      <c r="N116" s="335"/>
      <c r="O116" s="162">
        <f t="shared" si="11"/>
        <v>0</v>
      </c>
      <c r="P116" s="162">
        <f t="shared" si="12"/>
        <v>0</v>
      </c>
    </row>
    <row r="117" spans="2:16">
      <c r="B117" s="9" t="str">
        <f t="shared" si="15"/>
        <v/>
      </c>
      <c r="C117" s="157">
        <f>IF(D93="","-",+C116+1)</f>
        <v>2036</v>
      </c>
      <c r="D117" s="158">
        <f>IF(F116+SUM(E$99:E116)=D$92,F116,D$92-SUM(E$99:E116))</f>
        <v>813213</v>
      </c>
      <c r="E117" s="164">
        <f t="shared" si="16"/>
        <v>31278</v>
      </c>
      <c r="F117" s="163">
        <f t="shared" si="17"/>
        <v>781935</v>
      </c>
      <c r="G117" s="163">
        <f t="shared" si="18"/>
        <v>797574</v>
      </c>
      <c r="H117" s="333">
        <f t="shared" si="13"/>
        <v>113217.21697641228</v>
      </c>
      <c r="I117" s="344">
        <f t="shared" si="14"/>
        <v>113217.21697641228</v>
      </c>
      <c r="J117" s="162">
        <f t="shared" si="9"/>
        <v>0</v>
      </c>
      <c r="K117" s="162"/>
      <c r="L117" s="335"/>
      <c r="M117" s="162">
        <f t="shared" si="10"/>
        <v>0</v>
      </c>
      <c r="N117" s="335"/>
      <c r="O117" s="162">
        <f t="shared" si="11"/>
        <v>0</v>
      </c>
      <c r="P117" s="162">
        <f t="shared" si="12"/>
        <v>0</v>
      </c>
    </row>
    <row r="118" spans="2:16">
      <c r="B118" s="9" t="str">
        <f t="shared" si="15"/>
        <v/>
      </c>
      <c r="C118" s="157">
        <f>IF(D93="","-",+C117+1)</f>
        <v>2037</v>
      </c>
      <c r="D118" s="158">
        <f>IF(F117+SUM(E$99:E117)=D$92,F117,D$92-SUM(E$99:E117))</f>
        <v>781935</v>
      </c>
      <c r="E118" s="164">
        <f t="shared" si="16"/>
        <v>31278</v>
      </c>
      <c r="F118" s="163">
        <f t="shared" si="17"/>
        <v>750657</v>
      </c>
      <c r="G118" s="163">
        <f t="shared" si="18"/>
        <v>766296</v>
      </c>
      <c r="H118" s="333">
        <f t="shared" si="13"/>
        <v>110003.85391719994</v>
      </c>
      <c r="I118" s="344">
        <f t="shared" si="14"/>
        <v>110003.85391719994</v>
      </c>
      <c r="J118" s="162">
        <f t="shared" si="9"/>
        <v>0</v>
      </c>
      <c r="K118" s="162"/>
      <c r="L118" s="335"/>
      <c r="M118" s="162">
        <f t="shared" si="10"/>
        <v>0</v>
      </c>
      <c r="N118" s="335"/>
      <c r="O118" s="162">
        <f t="shared" si="11"/>
        <v>0</v>
      </c>
      <c r="P118" s="162">
        <f t="shared" si="12"/>
        <v>0</v>
      </c>
    </row>
    <row r="119" spans="2:16">
      <c r="B119" s="9" t="str">
        <f t="shared" si="15"/>
        <v/>
      </c>
      <c r="C119" s="157">
        <f>IF(D93="","-",+C118+1)</f>
        <v>2038</v>
      </c>
      <c r="D119" s="158">
        <f>IF(F118+SUM(E$99:E118)=D$92,F118,D$92-SUM(E$99:E118))</f>
        <v>750657</v>
      </c>
      <c r="E119" s="164">
        <f t="shared" si="16"/>
        <v>31278</v>
      </c>
      <c r="F119" s="163">
        <f t="shared" si="17"/>
        <v>719379</v>
      </c>
      <c r="G119" s="163">
        <f t="shared" si="18"/>
        <v>735018</v>
      </c>
      <c r="H119" s="333">
        <f t="shared" si="13"/>
        <v>106790.49085798759</v>
      </c>
      <c r="I119" s="344">
        <f t="shared" si="14"/>
        <v>106790.49085798759</v>
      </c>
      <c r="J119" s="162">
        <f t="shared" si="9"/>
        <v>0</v>
      </c>
      <c r="K119" s="162"/>
      <c r="L119" s="335"/>
      <c r="M119" s="162">
        <f t="shared" si="10"/>
        <v>0</v>
      </c>
      <c r="N119" s="335"/>
      <c r="O119" s="162">
        <f t="shared" si="11"/>
        <v>0</v>
      </c>
      <c r="P119" s="162">
        <f t="shared" si="12"/>
        <v>0</v>
      </c>
    </row>
    <row r="120" spans="2:16">
      <c r="B120" s="9" t="str">
        <f t="shared" si="15"/>
        <v/>
      </c>
      <c r="C120" s="157">
        <f>IF(D93="","-",+C119+1)</f>
        <v>2039</v>
      </c>
      <c r="D120" s="158">
        <f>IF(F119+SUM(E$99:E119)=D$92,F119,D$92-SUM(E$99:E119))</f>
        <v>719379</v>
      </c>
      <c r="E120" s="164">
        <f t="shared" si="16"/>
        <v>31278</v>
      </c>
      <c r="F120" s="163">
        <f t="shared" si="17"/>
        <v>688101</v>
      </c>
      <c r="G120" s="163">
        <f t="shared" si="18"/>
        <v>703740</v>
      </c>
      <c r="H120" s="333">
        <f t="shared" si="13"/>
        <v>103577.12779877525</v>
      </c>
      <c r="I120" s="344">
        <f t="shared" si="14"/>
        <v>103577.12779877525</v>
      </c>
      <c r="J120" s="162">
        <f t="shared" si="9"/>
        <v>0</v>
      </c>
      <c r="K120" s="162"/>
      <c r="L120" s="335"/>
      <c r="M120" s="162">
        <f t="shared" si="10"/>
        <v>0</v>
      </c>
      <c r="N120" s="335"/>
      <c r="O120" s="162">
        <f t="shared" si="11"/>
        <v>0</v>
      </c>
      <c r="P120" s="162">
        <f t="shared" si="12"/>
        <v>0</v>
      </c>
    </row>
    <row r="121" spans="2:16">
      <c r="B121" s="9" t="str">
        <f t="shared" si="15"/>
        <v/>
      </c>
      <c r="C121" s="157">
        <f>IF(D93="","-",+C120+1)</f>
        <v>2040</v>
      </c>
      <c r="D121" s="158">
        <f>IF(F120+SUM(E$99:E120)=D$92,F120,D$92-SUM(E$99:E120))</f>
        <v>688101</v>
      </c>
      <c r="E121" s="164">
        <f t="shared" si="16"/>
        <v>31278</v>
      </c>
      <c r="F121" s="163">
        <f t="shared" si="17"/>
        <v>656823</v>
      </c>
      <c r="G121" s="163">
        <f t="shared" si="18"/>
        <v>672462</v>
      </c>
      <c r="H121" s="333">
        <f t="shared" si="13"/>
        <v>100363.76473956292</v>
      </c>
      <c r="I121" s="344">
        <f t="shared" si="14"/>
        <v>100363.76473956292</v>
      </c>
      <c r="J121" s="162">
        <f t="shared" si="9"/>
        <v>0</v>
      </c>
      <c r="K121" s="162"/>
      <c r="L121" s="335"/>
      <c r="M121" s="162">
        <f t="shared" si="10"/>
        <v>0</v>
      </c>
      <c r="N121" s="335"/>
      <c r="O121" s="162">
        <f t="shared" si="11"/>
        <v>0</v>
      </c>
      <c r="P121" s="162">
        <f t="shared" si="12"/>
        <v>0</v>
      </c>
    </row>
    <row r="122" spans="2:16">
      <c r="B122" s="9" t="str">
        <f t="shared" si="15"/>
        <v/>
      </c>
      <c r="C122" s="157">
        <f>IF(D93="","-",+C121+1)</f>
        <v>2041</v>
      </c>
      <c r="D122" s="158">
        <f>IF(F121+SUM(E$99:E121)=D$92,F121,D$92-SUM(E$99:E121))</f>
        <v>656823</v>
      </c>
      <c r="E122" s="164">
        <f t="shared" si="16"/>
        <v>31278</v>
      </c>
      <c r="F122" s="163">
        <f t="shared" si="17"/>
        <v>625545</v>
      </c>
      <c r="G122" s="163">
        <f t="shared" si="18"/>
        <v>641184</v>
      </c>
      <c r="H122" s="333">
        <f t="shared" si="13"/>
        <v>97150.40168035058</v>
      </c>
      <c r="I122" s="344">
        <f t="shared" si="14"/>
        <v>97150.40168035058</v>
      </c>
      <c r="J122" s="162">
        <f t="shared" si="9"/>
        <v>0</v>
      </c>
      <c r="K122" s="162"/>
      <c r="L122" s="335"/>
      <c r="M122" s="162">
        <f t="shared" si="10"/>
        <v>0</v>
      </c>
      <c r="N122" s="335"/>
      <c r="O122" s="162">
        <f t="shared" si="11"/>
        <v>0</v>
      </c>
      <c r="P122" s="162">
        <f t="shared" si="12"/>
        <v>0</v>
      </c>
    </row>
    <row r="123" spans="2:16">
      <c r="B123" s="9" t="str">
        <f t="shared" si="15"/>
        <v/>
      </c>
      <c r="C123" s="157">
        <f>IF(D93="","-",+C122+1)</f>
        <v>2042</v>
      </c>
      <c r="D123" s="158">
        <f>IF(F122+SUM(E$99:E122)=D$92,F122,D$92-SUM(E$99:E122))</f>
        <v>625545</v>
      </c>
      <c r="E123" s="164">
        <f t="shared" si="16"/>
        <v>31278</v>
      </c>
      <c r="F123" s="163">
        <f t="shared" si="17"/>
        <v>594267</v>
      </c>
      <c r="G123" s="163">
        <f t="shared" si="18"/>
        <v>609906</v>
      </c>
      <c r="H123" s="333">
        <f t="shared" si="13"/>
        <v>93937.038621138228</v>
      </c>
      <c r="I123" s="344">
        <f t="shared" si="14"/>
        <v>93937.038621138228</v>
      </c>
      <c r="J123" s="162">
        <f t="shared" si="9"/>
        <v>0</v>
      </c>
      <c r="K123" s="162"/>
      <c r="L123" s="335"/>
      <c r="M123" s="162">
        <f t="shared" si="10"/>
        <v>0</v>
      </c>
      <c r="N123" s="335"/>
      <c r="O123" s="162">
        <f t="shared" si="11"/>
        <v>0</v>
      </c>
      <c r="P123" s="162">
        <f t="shared" si="12"/>
        <v>0</v>
      </c>
    </row>
    <row r="124" spans="2:16">
      <c r="B124" s="9" t="str">
        <f t="shared" si="15"/>
        <v/>
      </c>
      <c r="C124" s="157">
        <f>IF(D93="","-",+C123+1)</f>
        <v>2043</v>
      </c>
      <c r="D124" s="158">
        <f>IF(F123+SUM(E$99:E123)=D$92,F123,D$92-SUM(E$99:E123))</f>
        <v>594267</v>
      </c>
      <c r="E124" s="164">
        <f t="shared" si="16"/>
        <v>31278</v>
      </c>
      <c r="F124" s="163">
        <f t="shared" si="17"/>
        <v>562989</v>
      </c>
      <c r="G124" s="163">
        <f t="shared" si="18"/>
        <v>578628</v>
      </c>
      <c r="H124" s="333">
        <f t="shared" si="13"/>
        <v>90723.675561925891</v>
      </c>
      <c r="I124" s="344">
        <f t="shared" si="14"/>
        <v>90723.675561925891</v>
      </c>
      <c r="J124" s="162">
        <f t="shared" si="9"/>
        <v>0</v>
      </c>
      <c r="K124" s="162"/>
      <c r="L124" s="335"/>
      <c r="M124" s="162">
        <f t="shared" si="10"/>
        <v>0</v>
      </c>
      <c r="N124" s="335"/>
      <c r="O124" s="162">
        <f t="shared" si="11"/>
        <v>0</v>
      </c>
      <c r="P124" s="162">
        <f t="shared" si="12"/>
        <v>0</v>
      </c>
    </row>
    <row r="125" spans="2:16">
      <c r="B125" s="9" t="str">
        <f t="shared" si="15"/>
        <v/>
      </c>
      <c r="C125" s="157">
        <f>IF(D93="","-",+C124+1)</f>
        <v>2044</v>
      </c>
      <c r="D125" s="158">
        <f>IF(F124+SUM(E$99:E124)=D$92,F124,D$92-SUM(E$99:E124))</f>
        <v>562989</v>
      </c>
      <c r="E125" s="164">
        <f t="shared" si="16"/>
        <v>31278</v>
      </c>
      <c r="F125" s="163">
        <f t="shared" si="17"/>
        <v>531711</v>
      </c>
      <c r="G125" s="163">
        <f t="shared" si="18"/>
        <v>547350</v>
      </c>
      <c r="H125" s="333">
        <f t="shared" si="13"/>
        <v>87510.312502713554</v>
      </c>
      <c r="I125" s="344">
        <f t="shared" si="14"/>
        <v>87510.312502713554</v>
      </c>
      <c r="J125" s="162">
        <f t="shared" si="9"/>
        <v>0</v>
      </c>
      <c r="K125" s="162"/>
      <c r="L125" s="335"/>
      <c r="M125" s="162">
        <f t="shared" si="10"/>
        <v>0</v>
      </c>
      <c r="N125" s="335"/>
      <c r="O125" s="162">
        <f t="shared" si="11"/>
        <v>0</v>
      </c>
      <c r="P125" s="162">
        <f t="shared" si="12"/>
        <v>0</v>
      </c>
    </row>
    <row r="126" spans="2:16">
      <c r="B126" s="9" t="str">
        <f t="shared" si="15"/>
        <v/>
      </c>
      <c r="C126" s="157">
        <f>IF(D93="","-",+C125+1)</f>
        <v>2045</v>
      </c>
      <c r="D126" s="158">
        <f>IF(F125+SUM(E$99:E125)=D$92,F125,D$92-SUM(E$99:E125))</f>
        <v>531711</v>
      </c>
      <c r="E126" s="164">
        <f t="shared" si="16"/>
        <v>31278</v>
      </c>
      <c r="F126" s="163">
        <f t="shared" si="17"/>
        <v>500433</v>
      </c>
      <c r="G126" s="163">
        <f t="shared" si="18"/>
        <v>516072</v>
      </c>
      <c r="H126" s="333">
        <f t="shared" si="13"/>
        <v>84296.949443501217</v>
      </c>
      <c r="I126" s="344">
        <f t="shared" si="14"/>
        <v>84296.949443501217</v>
      </c>
      <c r="J126" s="162">
        <f t="shared" si="9"/>
        <v>0</v>
      </c>
      <c r="K126" s="162"/>
      <c r="L126" s="335"/>
      <c r="M126" s="162">
        <f t="shared" si="10"/>
        <v>0</v>
      </c>
      <c r="N126" s="335"/>
      <c r="O126" s="162">
        <f t="shared" si="11"/>
        <v>0</v>
      </c>
      <c r="P126" s="162">
        <f t="shared" si="12"/>
        <v>0</v>
      </c>
    </row>
    <row r="127" spans="2:16">
      <c r="B127" s="9" t="str">
        <f t="shared" si="15"/>
        <v/>
      </c>
      <c r="C127" s="157">
        <f>IF(D93="","-",+C126+1)</f>
        <v>2046</v>
      </c>
      <c r="D127" s="158">
        <f>IF(F126+SUM(E$99:E126)=D$92,F126,D$92-SUM(E$99:E126))</f>
        <v>500433</v>
      </c>
      <c r="E127" s="164">
        <f t="shared" si="16"/>
        <v>31278</v>
      </c>
      <c r="F127" s="163">
        <f t="shared" si="17"/>
        <v>469155</v>
      </c>
      <c r="G127" s="163">
        <f t="shared" si="18"/>
        <v>484794</v>
      </c>
      <c r="H127" s="333">
        <f t="shared" si="13"/>
        <v>81083.586384288879</v>
      </c>
      <c r="I127" s="344">
        <f t="shared" si="14"/>
        <v>81083.586384288879</v>
      </c>
      <c r="J127" s="162">
        <f t="shared" si="9"/>
        <v>0</v>
      </c>
      <c r="K127" s="162"/>
      <c r="L127" s="335"/>
      <c r="M127" s="162">
        <f t="shared" si="10"/>
        <v>0</v>
      </c>
      <c r="N127" s="335"/>
      <c r="O127" s="162">
        <f t="shared" si="11"/>
        <v>0</v>
      </c>
      <c r="P127" s="162">
        <f t="shared" si="12"/>
        <v>0</v>
      </c>
    </row>
    <row r="128" spans="2:16">
      <c r="B128" s="9" t="str">
        <f t="shared" si="15"/>
        <v/>
      </c>
      <c r="C128" s="157">
        <f>IF(D93="","-",+C127+1)</f>
        <v>2047</v>
      </c>
      <c r="D128" s="158">
        <f>IF(F127+SUM(E$99:E127)=D$92,F127,D$92-SUM(E$99:E127))</f>
        <v>469155</v>
      </c>
      <c r="E128" s="164">
        <f t="shared" si="16"/>
        <v>31278</v>
      </c>
      <c r="F128" s="163">
        <f t="shared" si="17"/>
        <v>437877</v>
      </c>
      <c r="G128" s="163">
        <f t="shared" si="18"/>
        <v>453516</v>
      </c>
      <c r="H128" s="333">
        <f t="shared" si="13"/>
        <v>77870.223325076542</v>
      </c>
      <c r="I128" s="344">
        <f t="shared" si="14"/>
        <v>77870.223325076542</v>
      </c>
      <c r="J128" s="162">
        <f t="shared" si="9"/>
        <v>0</v>
      </c>
      <c r="K128" s="162"/>
      <c r="L128" s="335"/>
      <c r="M128" s="162">
        <f t="shared" si="10"/>
        <v>0</v>
      </c>
      <c r="N128" s="335"/>
      <c r="O128" s="162">
        <f t="shared" si="11"/>
        <v>0</v>
      </c>
      <c r="P128" s="162">
        <f t="shared" si="12"/>
        <v>0</v>
      </c>
    </row>
    <row r="129" spans="2:16">
      <c r="B129" s="9" t="str">
        <f t="shared" si="15"/>
        <v/>
      </c>
      <c r="C129" s="157">
        <f>IF(D93="","-",+C128+1)</f>
        <v>2048</v>
      </c>
      <c r="D129" s="158">
        <f>IF(F128+SUM(E$99:E128)=D$92,F128,D$92-SUM(E$99:E128))</f>
        <v>437877</v>
      </c>
      <c r="E129" s="164">
        <f t="shared" si="16"/>
        <v>31278</v>
      </c>
      <c r="F129" s="163">
        <f t="shared" si="17"/>
        <v>406599</v>
      </c>
      <c r="G129" s="163">
        <f t="shared" si="18"/>
        <v>422238</v>
      </c>
      <c r="H129" s="333">
        <f t="shared" si="13"/>
        <v>74656.86026586419</v>
      </c>
      <c r="I129" s="344">
        <f t="shared" si="14"/>
        <v>74656.86026586419</v>
      </c>
      <c r="J129" s="162">
        <f t="shared" si="9"/>
        <v>0</v>
      </c>
      <c r="K129" s="162"/>
      <c r="L129" s="335"/>
      <c r="M129" s="162">
        <f t="shared" si="10"/>
        <v>0</v>
      </c>
      <c r="N129" s="335"/>
      <c r="O129" s="162">
        <f t="shared" si="11"/>
        <v>0</v>
      </c>
      <c r="P129" s="162">
        <f t="shared" si="12"/>
        <v>0</v>
      </c>
    </row>
    <row r="130" spans="2:16">
      <c r="B130" s="9" t="str">
        <f t="shared" si="15"/>
        <v/>
      </c>
      <c r="C130" s="157">
        <f>IF(D93="","-",+C129+1)</f>
        <v>2049</v>
      </c>
      <c r="D130" s="158">
        <f>IF(F129+SUM(E$99:E129)=D$92,F129,D$92-SUM(E$99:E129))</f>
        <v>406599</v>
      </c>
      <c r="E130" s="164">
        <f t="shared" si="16"/>
        <v>31278</v>
      </c>
      <c r="F130" s="163">
        <f t="shared" si="17"/>
        <v>375321</v>
      </c>
      <c r="G130" s="163">
        <f t="shared" si="18"/>
        <v>390960</v>
      </c>
      <c r="H130" s="333">
        <f t="shared" si="13"/>
        <v>71443.497206651853</v>
      </c>
      <c r="I130" s="344">
        <f t="shared" si="14"/>
        <v>71443.497206651853</v>
      </c>
      <c r="J130" s="162">
        <f t="shared" si="9"/>
        <v>0</v>
      </c>
      <c r="K130" s="162"/>
      <c r="L130" s="335"/>
      <c r="M130" s="162">
        <f t="shared" si="10"/>
        <v>0</v>
      </c>
      <c r="N130" s="335"/>
      <c r="O130" s="162">
        <f t="shared" si="11"/>
        <v>0</v>
      </c>
      <c r="P130" s="162">
        <f t="shared" si="12"/>
        <v>0</v>
      </c>
    </row>
    <row r="131" spans="2:16">
      <c r="B131" s="9" t="str">
        <f t="shared" si="15"/>
        <v/>
      </c>
      <c r="C131" s="157">
        <f>IF(D93="","-",+C130+1)</f>
        <v>2050</v>
      </c>
      <c r="D131" s="158">
        <f>IF(F130+SUM(E$99:E130)=D$92,F130,D$92-SUM(E$99:E130))</f>
        <v>375321</v>
      </c>
      <c r="E131" s="164">
        <f t="shared" si="16"/>
        <v>31278</v>
      </c>
      <c r="F131" s="163">
        <f t="shared" si="17"/>
        <v>344043</v>
      </c>
      <c r="G131" s="163">
        <f t="shared" si="18"/>
        <v>359682</v>
      </c>
      <c r="H131" s="333">
        <f t="shared" si="13"/>
        <v>68230.134147439516</v>
      </c>
      <c r="I131" s="344">
        <f t="shared" si="14"/>
        <v>68230.134147439516</v>
      </c>
      <c r="J131" s="162">
        <f t="shared" ref="J131:J154" si="19">+I541-H541</f>
        <v>0</v>
      </c>
      <c r="K131" s="162"/>
      <c r="L131" s="335"/>
      <c r="M131" s="162">
        <f t="shared" ref="M131:M154" si="20">IF(L541&lt;&gt;0,+H541-L541,0)</f>
        <v>0</v>
      </c>
      <c r="N131" s="335"/>
      <c r="O131" s="162">
        <f t="shared" ref="O131:O154" si="21">IF(N541&lt;&gt;0,+I541-N541,0)</f>
        <v>0</v>
      </c>
      <c r="P131" s="162">
        <f t="shared" ref="P131:P154" si="22">+O541-M541</f>
        <v>0</v>
      </c>
    </row>
    <row r="132" spans="2:16">
      <c r="B132" s="9" t="str">
        <f t="shared" si="15"/>
        <v/>
      </c>
      <c r="C132" s="157">
        <f>IF(D93="","-",+C131+1)</f>
        <v>2051</v>
      </c>
      <c r="D132" s="158">
        <f>IF(F131+SUM(E$99:E131)=D$92,F131,D$92-SUM(E$99:E131))</f>
        <v>344043</v>
      </c>
      <c r="E132" s="164">
        <f t="shared" si="16"/>
        <v>31278</v>
      </c>
      <c r="F132" s="163">
        <f t="shared" si="17"/>
        <v>312765</v>
      </c>
      <c r="G132" s="163">
        <f t="shared" si="18"/>
        <v>328404</v>
      </c>
      <c r="H132" s="333">
        <f t="shared" si="13"/>
        <v>65016.771088227171</v>
      </c>
      <c r="I132" s="344">
        <f t="shared" si="14"/>
        <v>65016.771088227171</v>
      </c>
      <c r="J132" s="162">
        <f t="shared" si="19"/>
        <v>0</v>
      </c>
      <c r="K132" s="162"/>
      <c r="L132" s="335"/>
      <c r="M132" s="162">
        <f t="shared" si="20"/>
        <v>0</v>
      </c>
      <c r="N132" s="335"/>
      <c r="O132" s="162">
        <f t="shared" si="21"/>
        <v>0</v>
      </c>
      <c r="P132" s="162">
        <f t="shared" si="22"/>
        <v>0</v>
      </c>
    </row>
    <row r="133" spans="2:16">
      <c r="B133" s="9" t="str">
        <f t="shared" si="15"/>
        <v/>
      </c>
      <c r="C133" s="157">
        <f>IF(D93="","-",+C132+1)</f>
        <v>2052</v>
      </c>
      <c r="D133" s="158">
        <f>IF(F132+SUM(E$99:E132)=D$92,F132,D$92-SUM(E$99:E132))</f>
        <v>312765</v>
      </c>
      <c r="E133" s="164">
        <f t="shared" si="16"/>
        <v>31278</v>
      </c>
      <c r="F133" s="163">
        <f t="shared" si="17"/>
        <v>281487</v>
      </c>
      <c r="G133" s="163">
        <f t="shared" si="18"/>
        <v>297126</v>
      </c>
      <c r="H133" s="333">
        <f t="shared" si="13"/>
        <v>61803.408029014827</v>
      </c>
      <c r="I133" s="344">
        <f t="shared" si="14"/>
        <v>61803.408029014827</v>
      </c>
      <c r="J133" s="162">
        <f t="shared" si="19"/>
        <v>0</v>
      </c>
      <c r="K133" s="162"/>
      <c r="L133" s="335"/>
      <c r="M133" s="162">
        <f t="shared" si="20"/>
        <v>0</v>
      </c>
      <c r="N133" s="335"/>
      <c r="O133" s="162">
        <f t="shared" si="21"/>
        <v>0</v>
      </c>
      <c r="P133" s="162">
        <f t="shared" si="22"/>
        <v>0</v>
      </c>
    </row>
    <row r="134" spans="2:16">
      <c r="B134" s="9" t="str">
        <f t="shared" si="15"/>
        <v/>
      </c>
      <c r="C134" s="157">
        <f>IF(D93="","-",+C133+1)</f>
        <v>2053</v>
      </c>
      <c r="D134" s="158">
        <f>IF(F133+SUM(E$99:E133)=D$92,F133,D$92-SUM(E$99:E133))</f>
        <v>281487</v>
      </c>
      <c r="E134" s="164">
        <f t="shared" si="16"/>
        <v>31278</v>
      </c>
      <c r="F134" s="163">
        <f t="shared" si="17"/>
        <v>250209</v>
      </c>
      <c r="G134" s="163">
        <f t="shared" si="18"/>
        <v>265848</v>
      </c>
      <c r="H134" s="333">
        <f t="shared" si="13"/>
        <v>58590.04496980249</v>
      </c>
      <c r="I134" s="344">
        <f t="shared" si="14"/>
        <v>58590.04496980249</v>
      </c>
      <c r="J134" s="162">
        <f t="shared" si="19"/>
        <v>0</v>
      </c>
      <c r="K134" s="162"/>
      <c r="L134" s="335"/>
      <c r="M134" s="162">
        <f t="shared" si="20"/>
        <v>0</v>
      </c>
      <c r="N134" s="335"/>
      <c r="O134" s="162">
        <f t="shared" si="21"/>
        <v>0</v>
      </c>
      <c r="P134" s="162">
        <f t="shared" si="22"/>
        <v>0</v>
      </c>
    </row>
    <row r="135" spans="2:16">
      <c r="B135" s="9" t="str">
        <f t="shared" si="15"/>
        <v/>
      </c>
      <c r="C135" s="157">
        <f>IF(D93="","-",+C134+1)</f>
        <v>2054</v>
      </c>
      <c r="D135" s="158">
        <f>IF(F134+SUM(E$99:E134)=D$92,F134,D$92-SUM(E$99:E134))</f>
        <v>250209</v>
      </c>
      <c r="E135" s="164">
        <f t="shared" si="16"/>
        <v>31278</v>
      </c>
      <c r="F135" s="163">
        <f t="shared" si="17"/>
        <v>218931</v>
      </c>
      <c r="G135" s="163">
        <f t="shared" si="18"/>
        <v>234570</v>
      </c>
      <c r="H135" s="333">
        <f t="shared" si="13"/>
        <v>55376.681910590152</v>
      </c>
      <c r="I135" s="344">
        <f t="shared" si="14"/>
        <v>55376.681910590152</v>
      </c>
      <c r="J135" s="162">
        <f t="shared" si="19"/>
        <v>0</v>
      </c>
      <c r="K135" s="162"/>
      <c r="L135" s="335"/>
      <c r="M135" s="162">
        <f t="shared" si="20"/>
        <v>0</v>
      </c>
      <c r="N135" s="335"/>
      <c r="O135" s="162">
        <f t="shared" si="21"/>
        <v>0</v>
      </c>
      <c r="P135" s="162">
        <f t="shared" si="22"/>
        <v>0</v>
      </c>
    </row>
    <row r="136" spans="2:16">
      <c r="B136" s="9" t="str">
        <f t="shared" si="15"/>
        <v/>
      </c>
      <c r="C136" s="157">
        <f>IF(D93="","-",+C135+1)</f>
        <v>2055</v>
      </c>
      <c r="D136" s="158">
        <f>IF(F135+SUM(E$99:E135)=D$92,F135,D$92-SUM(E$99:E135))</f>
        <v>218931</v>
      </c>
      <c r="E136" s="164">
        <f t="shared" si="16"/>
        <v>31278</v>
      </c>
      <c r="F136" s="163">
        <f t="shared" si="17"/>
        <v>187653</v>
      </c>
      <c r="G136" s="163">
        <f t="shared" si="18"/>
        <v>203292</v>
      </c>
      <c r="H136" s="333">
        <f t="shared" si="13"/>
        <v>52163.318851377815</v>
      </c>
      <c r="I136" s="344">
        <f t="shared" si="14"/>
        <v>52163.318851377815</v>
      </c>
      <c r="J136" s="162">
        <f t="shared" si="19"/>
        <v>0</v>
      </c>
      <c r="K136" s="162"/>
      <c r="L136" s="335"/>
      <c r="M136" s="162">
        <f t="shared" si="20"/>
        <v>0</v>
      </c>
      <c r="N136" s="335"/>
      <c r="O136" s="162">
        <f t="shared" si="21"/>
        <v>0</v>
      </c>
      <c r="P136" s="162">
        <f t="shared" si="22"/>
        <v>0</v>
      </c>
    </row>
    <row r="137" spans="2:16">
      <c r="B137" s="9" t="str">
        <f t="shared" si="15"/>
        <v/>
      </c>
      <c r="C137" s="157">
        <f>IF(D93="","-",+C136+1)</f>
        <v>2056</v>
      </c>
      <c r="D137" s="158">
        <f>IF(F136+SUM(E$99:E136)=D$92,F136,D$92-SUM(E$99:E136))</f>
        <v>187653</v>
      </c>
      <c r="E137" s="164">
        <f t="shared" si="16"/>
        <v>31278</v>
      </c>
      <c r="F137" s="163">
        <f t="shared" si="17"/>
        <v>156375</v>
      </c>
      <c r="G137" s="163">
        <f t="shared" si="18"/>
        <v>172014</v>
      </c>
      <c r="H137" s="333">
        <f t="shared" si="13"/>
        <v>48949.95579216547</v>
      </c>
      <c r="I137" s="344">
        <f t="shared" si="14"/>
        <v>48949.95579216547</v>
      </c>
      <c r="J137" s="162">
        <f t="shared" si="19"/>
        <v>0</v>
      </c>
      <c r="K137" s="162"/>
      <c r="L137" s="335"/>
      <c r="M137" s="162">
        <f t="shared" si="20"/>
        <v>0</v>
      </c>
      <c r="N137" s="335"/>
      <c r="O137" s="162">
        <f t="shared" si="21"/>
        <v>0</v>
      </c>
      <c r="P137" s="162">
        <f t="shared" si="22"/>
        <v>0</v>
      </c>
    </row>
    <row r="138" spans="2:16">
      <c r="B138" s="9" t="str">
        <f t="shared" si="15"/>
        <v/>
      </c>
      <c r="C138" s="157">
        <f>IF(D93="","-",+C137+1)</f>
        <v>2057</v>
      </c>
      <c r="D138" s="158">
        <f>IF(F137+SUM(E$99:E137)=D$92,F137,D$92-SUM(E$99:E137))</f>
        <v>156375</v>
      </c>
      <c r="E138" s="164">
        <f t="shared" si="16"/>
        <v>31278</v>
      </c>
      <c r="F138" s="163">
        <f t="shared" si="17"/>
        <v>125097</v>
      </c>
      <c r="G138" s="163">
        <f t="shared" si="18"/>
        <v>140736</v>
      </c>
      <c r="H138" s="333">
        <f t="shared" si="13"/>
        <v>45736.592732953126</v>
      </c>
      <c r="I138" s="344">
        <f t="shared" si="14"/>
        <v>45736.592732953126</v>
      </c>
      <c r="J138" s="162">
        <f t="shared" si="19"/>
        <v>0</v>
      </c>
      <c r="K138" s="162"/>
      <c r="L138" s="335"/>
      <c r="M138" s="162">
        <f t="shared" si="20"/>
        <v>0</v>
      </c>
      <c r="N138" s="335"/>
      <c r="O138" s="162">
        <f t="shared" si="21"/>
        <v>0</v>
      </c>
      <c r="P138" s="162">
        <f t="shared" si="22"/>
        <v>0</v>
      </c>
    </row>
    <row r="139" spans="2:16">
      <c r="B139" s="9" t="str">
        <f t="shared" si="15"/>
        <v/>
      </c>
      <c r="C139" s="157">
        <f>IF(D93="","-",+C138+1)</f>
        <v>2058</v>
      </c>
      <c r="D139" s="158">
        <f>IF(F138+SUM(E$99:E138)=D$92,F138,D$92-SUM(E$99:E138))</f>
        <v>125097</v>
      </c>
      <c r="E139" s="164">
        <f t="shared" si="16"/>
        <v>31278</v>
      </c>
      <c r="F139" s="163">
        <f t="shared" si="17"/>
        <v>93819</v>
      </c>
      <c r="G139" s="163">
        <f t="shared" si="18"/>
        <v>109458</v>
      </c>
      <c r="H139" s="333">
        <f t="shared" si="13"/>
        <v>42523.229673740789</v>
      </c>
      <c r="I139" s="344">
        <f t="shared" si="14"/>
        <v>42523.229673740789</v>
      </c>
      <c r="J139" s="162">
        <f t="shared" si="19"/>
        <v>0</v>
      </c>
      <c r="K139" s="162"/>
      <c r="L139" s="335"/>
      <c r="M139" s="162">
        <f t="shared" si="20"/>
        <v>0</v>
      </c>
      <c r="N139" s="335"/>
      <c r="O139" s="162">
        <f t="shared" si="21"/>
        <v>0</v>
      </c>
      <c r="P139" s="162">
        <f t="shared" si="22"/>
        <v>0</v>
      </c>
    </row>
    <row r="140" spans="2:16">
      <c r="B140" s="9" t="str">
        <f t="shared" si="15"/>
        <v/>
      </c>
      <c r="C140" s="157">
        <f>IF(D93="","-",+C139+1)</f>
        <v>2059</v>
      </c>
      <c r="D140" s="158">
        <f>IF(F139+SUM(E$99:E139)=D$92,F139,D$92-SUM(E$99:E139))</f>
        <v>93819</v>
      </c>
      <c r="E140" s="164">
        <f t="shared" si="16"/>
        <v>31278</v>
      </c>
      <c r="F140" s="163">
        <f t="shared" si="17"/>
        <v>62541</v>
      </c>
      <c r="G140" s="163">
        <f t="shared" si="18"/>
        <v>78180</v>
      </c>
      <c r="H140" s="333">
        <f t="shared" si="13"/>
        <v>39309.866614528451</v>
      </c>
      <c r="I140" s="344">
        <f t="shared" si="14"/>
        <v>39309.866614528451</v>
      </c>
      <c r="J140" s="162">
        <f t="shared" si="19"/>
        <v>0</v>
      </c>
      <c r="K140" s="162"/>
      <c r="L140" s="335"/>
      <c r="M140" s="162">
        <f t="shared" si="20"/>
        <v>0</v>
      </c>
      <c r="N140" s="335"/>
      <c r="O140" s="162">
        <f t="shared" si="21"/>
        <v>0</v>
      </c>
      <c r="P140" s="162">
        <f t="shared" si="22"/>
        <v>0</v>
      </c>
    </row>
    <row r="141" spans="2:16">
      <c r="B141" s="9" t="str">
        <f t="shared" si="15"/>
        <v/>
      </c>
      <c r="C141" s="157">
        <f>IF(D93="","-",+C140+1)</f>
        <v>2060</v>
      </c>
      <c r="D141" s="158">
        <f>IF(F140+SUM(E$99:E140)=D$92,F140,D$92-SUM(E$99:E140))</f>
        <v>62541</v>
      </c>
      <c r="E141" s="164">
        <f t="shared" si="16"/>
        <v>31278</v>
      </c>
      <c r="F141" s="163">
        <f t="shared" si="17"/>
        <v>31263</v>
      </c>
      <c r="G141" s="163">
        <f t="shared" si="18"/>
        <v>46902</v>
      </c>
      <c r="H141" s="333">
        <f t="shared" si="13"/>
        <v>36096.503555316107</v>
      </c>
      <c r="I141" s="344">
        <f t="shared" si="14"/>
        <v>36096.503555316107</v>
      </c>
      <c r="J141" s="162">
        <f t="shared" si="19"/>
        <v>0</v>
      </c>
      <c r="K141" s="162"/>
      <c r="L141" s="335"/>
      <c r="M141" s="162">
        <f t="shared" si="20"/>
        <v>0</v>
      </c>
      <c r="N141" s="335"/>
      <c r="O141" s="162">
        <f t="shared" si="21"/>
        <v>0</v>
      </c>
      <c r="P141" s="162">
        <f t="shared" si="22"/>
        <v>0</v>
      </c>
    </row>
    <row r="142" spans="2:16">
      <c r="B142" s="9" t="str">
        <f t="shared" si="15"/>
        <v/>
      </c>
      <c r="C142" s="157">
        <f>IF(D93="","-",+C141+1)</f>
        <v>2061</v>
      </c>
      <c r="D142" s="158">
        <f>IF(F141+SUM(E$99:E141)=D$92,F141,D$92-SUM(E$99:E141))</f>
        <v>31263</v>
      </c>
      <c r="E142" s="164">
        <f t="shared" si="16"/>
        <v>31263</v>
      </c>
      <c r="F142" s="163">
        <f t="shared" si="17"/>
        <v>0</v>
      </c>
      <c r="G142" s="163">
        <f t="shared" si="18"/>
        <v>15631.5</v>
      </c>
      <c r="H142" s="333">
        <f t="shared" si="13"/>
        <v>32868.911012854966</v>
      </c>
      <c r="I142" s="344">
        <f t="shared" si="14"/>
        <v>32868.911012854966</v>
      </c>
      <c r="J142" s="162">
        <f t="shared" si="19"/>
        <v>0</v>
      </c>
      <c r="K142" s="162"/>
      <c r="L142" s="335"/>
      <c r="M142" s="162">
        <f t="shared" si="20"/>
        <v>0</v>
      </c>
      <c r="N142" s="335"/>
      <c r="O142" s="162">
        <f t="shared" si="21"/>
        <v>0</v>
      </c>
      <c r="P142" s="162">
        <f t="shared" si="22"/>
        <v>0</v>
      </c>
    </row>
    <row r="143" spans="2:16">
      <c r="B143" s="9" t="str">
        <f t="shared" si="15"/>
        <v/>
      </c>
      <c r="C143" s="157">
        <f>IF(D93="","-",+C142+1)</f>
        <v>2062</v>
      </c>
      <c r="D143" s="158">
        <f>IF(F142+SUM(E$99:E142)=D$92,F142,D$92-SUM(E$99:E142))</f>
        <v>0</v>
      </c>
      <c r="E143" s="164">
        <f t="shared" si="16"/>
        <v>0</v>
      </c>
      <c r="F143" s="163">
        <f t="shared" si="17"/>
        <v>0</v>
      </c>
      <c r="G143" s="163">
        <f t="shared" si="18"/>
        <v>0</v>
      </c>
      <c r="H143" s="333">
        <f t="shared" si="13"/>
        <v>0</v>
      </c>
      <c r="I143" s="344">
        <f t="shared" si="14"/>
        <v>0</v>
      </c>
      <c r="J143" s="162">
        <f t="shared" si="19"/>
        <v>0</v>
      </c>
      <c r="K143" s="162"/>
      <c r="L143" s="335"/>
      <c r="M143" s="162">
        <f t="shared" si="20"/>
        <v>0</v>
      </c>
      <c r="N143" s="335"/>
      <c r="O143" s="162">
        <f t="shared" si="21"/>
        <v>0</v>
      </c>
      <c r="P143" s="162">
        <f t="shared" si="22"/>
        <v>0</v>
      </c>
    </row>
    <row r="144" spans="2:16">
      <c r="B144" s="9" t="str">
        <f t="shared" si="15"/>
        <v/>
      </c>
      <c r="C144" s="157">
        <f>IF(D93="","-",+C143+1)</f>
        <v>2063</v>
      </c>
      <c r="D144" s="158">
        <f>IF(F143+SUM(E$99:E143)=D$92,F143,D$92-SUM(E$99:E143))</f>
        <v>0</v>
      </c>
      <c r="E144" s="164">
        <f t="shared" si="16"/>
        <v>0</v>
      </c>
      <c r="F144" s="163">
        <f t="shared" si="17"/>
        <v>0</v>
      </c>
      <c r="G144" s="163">
        <f t="shared" si="18"/>
        <v>0</v>
      </c>
      <c r="H144" s="333">
        <f t="shared" si="13"/>
        <v>0</v>
      </c>
      <c r="I144" s="344">
        <f t="shared" si="14"/>
        <v>0</v>
      </c>
      <c r="J144" s="162">
        <f t="shared" si="19"/>
        <v>0</v>
      </c>
      <c r="K144" s="162"/>
      <c r="L144" s="335"/>
      <c r="M144" s="162">
        <f t="shared" si="20"/>
        <v>0</v>
      </c>
      <c r="N144" s="335"/>
      <c r="O144" s="162">
        <f t="shared" si="21"/>
        <v>0</v>
      </c>
      <c r="P144" s="162">
        <f t="shared" si="22"/>
        <v>0</v>
      </c>
    </row>
    <row r="145" spans="2:16">
      <c r="B145" s="9" t="str">
        <f t="shared" si="15"/>
        <v/>
      </c>
      <c r="C145" s="157">
        <f>IF(D93="","-",+C144+1)</f>
        <v>2064</v>
      </c>
      <c r="D145" s="158">
        <f>IF(F144+SUM(E$99:E144)=D$92,F144,D$92-SUM(E$99:E144))</f>
        <v>0</v>
      </c>
      <c r="E145" s="164">
        <f t="shared" si="16"/>
        <v>0</v>
      </c>
      <c r="F145" s="163">
        <f t="shared" si="17"/>
        <v>0</v>
      </c>
      <c r="G145" s="163">
        <f t="shared" si="18"/>
        <v>0</v>
      </c>
      <c r="H145" s="333">
        <f t="shared" si="13"/>
        <v>0</v>
      </c>
      <c r="I145" s="344">
        <f t="shared" si="14"/>
        <v>0</v>
      </c>
      <c r="J145" s="162">
        <f t="shared" si="19"/>
        <v>0</v>
      </c>
      <c r="K145" s="162"/>
      <c r="L145" s="335"/>
      <c r="M145" s="162">
        <f t="shared" si="20"/>
        <v>0</v>
      </c>
      <c r="N145" s="335"/>
      <c r="O145" s="162">
        <f t="shared" si="21"/>
        <v>0</v>
      </c>
      <c r="P145" s="162">
        <f t="shared" si="22"/>
        <v>0</v>
      </c>
    </row>
    <row r="146" spans="2:16">
      <c r="B146" s="9" t="str">
        <f t="shared" si="15"/>
        <v/>
      </c>
      <c r="C146" s="157">
        <f>IF(D93="","-",+C145+1)</f>
        <v>2065</v>
      </c>
      <c r="D146" s="158">
        <f>IF(F145+SUM(E$99:E145)=D$92,F145,D$92-SUM(E$99:E145))</f>
        <v>0</v>
      </c>
      <c r="E146" s="164">
        <f t="shared" si="16"/>
        <v>0</v>
      </c>
      <c r="F146" s="163">
        <f t="shared" si="17"/>
        <v>0</v>
      </c>
      <c r="G146" s="163">
        <f t="shared" si="18"/>
        <v>0</v>
      </c>
      <c r="H146" s="333">
        <f t="shared" si="13"/>
        <v>0</v>
      </c>
      <c r="I146" s="344">
        <f t="shared" si="14"/>
        <v>0</v>
      </c>
      <c r="J146" s="162">
        <f t="shared" si="19"/>
        <v>0</v>
      </c>
      <c r="K146" s="162"/>
      <c r="L146" s="335"/>
      <c r="M146" s="162">
        <f t="shared" si="20"/>
        <v>0</v>
      </c>
      <c r="N146" s="335"/>
      <c r="O146" s="162">
        <f t="shared" si="21"/>
        <v>0</v>
      </c>
      <c r="P146" s="162">
        <f t="shared" si="22"/>
        <v>0</v>
      </c>
    </row>
    <row r="147" spans="2:16">
      <c r="B147" s="9" t="str">
        <f t="shared" si="15"/>
        <v/>
      </c>
      <c r="C147" s="157">
        <f>IF(D93="","-",+C146+1)</f>
        <v>2066</v>
      </c>
      <c r="D147" s="158">
        <f>IF(F146+SUM(E$99:E146)=D$92,F146,D$92-SUM(E$99:E146))</f>
        <v>0</v>
      </c>
      <c r="E147" s="164">
        <f t="shared" si="16"/>
        <v>0</v>
      </c>
      <c r="F147" s="163">
        <f t="shared" si="17"/>
        <v>0</v>
      </c>
      <c r="G147" s="163">
        <f t="shared" si="18"/>
        <v>0</v>
      </c>
      <c r="H147" s="333">
        <f t="shared" si="13"/>
        <v>0</v>
      </c>
      <c r="I147" s="344">
        <f t="shared" si="14"/>
        <v>0</v>
      </c>
      <c r="J147" s="162">
        <f t="shared" si="19"/>
        <v>0</v>
      </c>
      <c r="K147" s="162"/>
      <c r="L147" s="335"/>
      <c r="M147" s="162">
        <f t="shared" si="20"/>
        <v>0</v>
      </c>
      <c r="N147" s="335"/>
      <c r="O147" s="162">
        <f t="shared" si="21"/>
        <v>0</v>
      </c>
      <c r="P147" s="162">
        <f t="shared" si="22"/>
        <v>0</v>
      </c>
    </row>
    <row r="148" spans="2:16">
      <c r="B148" s="9" t="str">
        <f t="shared" si="15"/>
        <v/>
      </c>
      <c r="C148" s="157">
        <f>IF(D93="","-",+C147+1)</f>
        <v>2067</v>
      </c>
      <c r="D148" s="158">
        <f>IF(F147+SUM(E$99:E147)=D$92,F147,D$92-SUM(E$99:E147))</f>
        <v>0</v>
      </c>
      <c r="E148" s="164">
        <f t="shared" si="16"/>
        <v>0</v>
      </c>
      <c r="F148" s="163">
        <f t="shared" si="17"/>
        <v>0</v>
      </c>
      <c r="G148" s="163">
        <f t="shared" si="18"/>
        <v>0</v>
      </c>
      <c r="H148" s="333">
        <f t="shared" si="13"/>
        <v>0</v>
      </c>
      <c r="I148" s="344">
        <f t="shared" si="14"/>
        <v>0</v>
      </c>
      <c r="J148" s="162">
        <f t="shared" si="19"/>
        <v>0</v>
      </c>
      <c r="K148" s="162"/>
      <c r="L148" s="335"/>
      <c r="M148" s="162">
        <f t="shared" si="20"/>
        <v>0</v>
      </c>
      <c r="N148" s="335"/>
      <c r="O148" s="162">
        <f t="shared" si="21"/>
        <v>0</v>
      </c>
      <c r="P148" s="162">
        <f t="shared" si="22"/>
        <v>0</v>
      </c>
    </row>
    <row r="149" spans="2:16">
      <c r="B149" s="9" t="str">
        <f t="shared" si="15"/>
        <v/>
      </c>
      <c r="C149" s="157">
        <f>IF(D93="","-",+C148+1)</f>
        <v>2068</v>
      </c>
      <c r="D149" s="158">
        <f>IF(F148+SUM(E$99:E148)=D$92,F148,D$92-SUM(E$99:E148))</f>
        <v>0</v>
      </c>
      <c r="E149" s="164">
        <f t="shared" si="16"/>
        <v>0</v>
      </c>
      <c r="F149" s="163">
        <f t="shared" si="17"/>
        <v>0</v>
      </c>
      <c r="G149" s="163">
        <f t="shared" si="18"/>
        <v>0</v>
      </c>
      <c r="H149" s="333">
        <f t="shared" si="13"/>
        <v>0</v>
      </c>
      <c r="I149" s="344">
        <f t="shared" si="14"/>
        <v>0</v>
      </c>
      <c r="J149" s="162">
        <f t="shared" si="19"/>
        <v>0</v>
      </c>
      <c r="K149" s="162"/>
      <c r="L149" s="335"/>
      <c r="M149" s="162">
        <f t="shared" si="20"/>
        <v>0</v>
      </c>
      <c r="N149" s="335"/>
      <c r="O149" s="162">
        <f t="shared" si="21"/>
        <v>0</v>
      </c>
      <c r="P149" s="162">
        <f t="shared" si="22"/>
        <v>0</v>
      </c>
    </row>
    <row r="150" spans="2:16">
      <c r="B150" s="9" t="str">
        <f t="shared" si="15"/>
        <v/>
      </c>
      <c r="C150" s="157">
        <f>IF(D93="","-",+C149+1)</f>
        <v>2069</v>
      </c>
      <c r="D150" s="158">
        <f>IF(F149+SUM(E$99:E149)=D$92,F149,D$92-SUM(E$99:E149))</f>
        <v>0</v>
      </c>
      <c r="E150" s="164">
        <f t="shared" si="16"/>
        <v>0</v>
      </c>
      <c r="F150" s="163">
        <f t="shared" si="17"/>
        <v>0</v>
      </c>
      <c r="G150" s="163">
        <f t="shared" si="18"/>
        <v>0</v>
      </c>
      <c r="H150" s="333">
        <f t="shared" si="13"/>
        <v>0</v>
      </c>
      <c r="I150" s="344">
        <f t="shared" si="14"/>
        <v>0</v>
      </c>
      <c r="J150" s="162">
        <f t="shared" si="19"/>
        <v>0</v>
      </c>
      <c r="K150" s="162"/>
      <c r="L150" s="335"/>
      <c r="M150" s="162">
        <f t="shared" si="20"/>
        <v>0</v>
      </c>
      <c r="N150" s="335"/>
      <c r="O150" s="162">
        <f t="shared" si="21"/>
        <v>0</v>
      </c>
      <c r="P150" s="162">
        <f t="shared" si="22"/>
        <v>0</v>
      </c>
    </row>
    <row r="151" spans="2:16">
      <c r="B151" s="9" t="str">
        <f t="shared" si="15"/>
        <v/>
      </c>
      <c r="C151" s="157">
        <f>IF(D93="","-",+C150+1)</f>
        <v>2070</v>
      </c>
      <c r="D151" s="158">
        <f>IF(F150+SUM(E$99:E150)=D$92,F150,D$92-SUM(E$99:E150))</f>
        <v>0</v>
      </c>
      <c r="E151" s="164">
        <f t="shared" si="16"/>
        <v>0</v>
      </c>
      <c r="F151" s="163">
        <f t="shared" si="17"/>
        <v>0</v>
      </c>
      <c r="G151" s="163">
        <f t="shared" si="18"/>
        <v>0</v>
      </c>
      <c r="H151" s="333">
        <f t="shared" si="13"/>
        <v>0</v>
      </c>
      <c r="I151" s="344">
        <f t="shared" si="14"/>
        <v>0</v>
      </c>
      <c r="J151" s="162">
        <f t="shared" si="19"/>
        <v>0</v>
      </c>
      <c r="K151" s="162"/>
      <c r="L151" s="335"/>
      <c r="M151" s="162">
        <f t="shared" si="20"/>
        <v>0</v>
      </c>
      <c r="N151" s="335"/>
      <c r="O151" s="162">
        <f t="shared" si="21"/>
        <v>0</v>
      </c>
      <c r="P151" s="162">
        <f t="shared" si="22"/>
        <v>0</v>
      </c>
    </row>
    <row r="152" spans="2:16">
      <c r="B152" s="9" t="str">
        <f t="shared" si="15"/>
        <v/>
      </c>
      <c r="C152" s="157">
        <f>IF(D93="","-",+C151+1)</f>
        <v>2071</v>
      </c>
      <c r="D152" s="158">
        <f>IF(F151+SUM(E$99:E151)=D$92,F151,D$92-SUM(E$99:E151))</f>
        <v>0</v>
      </c>
      <c r="E152" s="164">
        <f t="shared" si="16"/>
        <v>0</v>
      </c>
      <c r="F152" s="163">
        <f t="shared" si="17"/>
        <v>0</v>
      </c>
      <c r="G152" s="163">
        <f t="shared" si="18"/>
        <v>0</v>
      </c>
      <c r="H152" s="333">
        <f t="shared" si="13"/>
        <v>0</v>
      </c>
      <c r="I152" s="344">
        <f t="shared" si="14"/>
        <v>0</v>
      </c>
      <c r="J152" s="162">
        <f t="shared" si="19"/>
        <v>0</v>
      </c>
      <c r="K152" s="162"/>
      <c r="L152" s="335"/>
      <c r="M152" s="162">
        <f t="shared" si="20"/>
        <v>0</v>
      </c>
      <c r="N152" s="335"/>
      <c r="O152" s="162">
        <f t="shared" si="21"/>
        <v>0</v>
      </c>
      <c r="P152" s="162">
        <f t="shared" si="22"/>
        <v>0</v>
      </c>
    </row>
    <row r="153" spans="2:16">
      <c r="B153" s="9" t="str">
        <f t="shared" si="15"/>
        <v/>
      </c>
      <c r="C153" s="157">
        <f>IF(D93="","-",+C152+1)</f>
        <v>2072</v>
      </c>
      <c r="D153" s="158">
        <f>IF(F152+SUM(E$99:E152)=D$92,F152,D$92-SUM(E$99:E152))</f>
        <v>0</v>
      </c>
      <c r="E153" s="164">
        <f t="shared" si="16"/>
        <v>0</v>
      </c>
      <c r="F153" s="163">
        <f t="shared" si="17"/>
        <v>0</v>
      </c>
      <c r="G153" s="163">
        <f t="shared" si="18"/>
        <v>0</v>
      </c>
      <c r="H153" s="333">
        <f t="shared" si="13"/>
        <v>0</v>
      </c>
      <c r="I153" s="344">
        <f t="shared" si="14"/>
        <v>0</v>
      </c>
      <c r="J153" s="162">
        <f t="shared" si="19"/>
        <v>0</v>
      </c>
      <c r="K153" s="162"/>
      <c r="L153" s="335"/>
      <c r="M153" s="162">
        <f t="shared" si="20"/>
        <v>0</v>
      </c>
      <c r="N153" s="335"/>
      <c r="O153" s="162">
        <f t="shared" si="21"/>
        <v>0</v>
      </c>
      <c r="P153" s="162">
        <f t="shared" si="22"/>
        <v>0</v>
      </c>
    </row>
    <row r="154" spans="2:16" ht="13.5" thickBot="1">
      <c r="B154" s="9" t="str">
        <f t="shared" si="15"/>
        <v/>
      </c>
      <c r="C154" s="168">
        <f>IF(D93="","-",+C153+1)</f>
        <v>2073</v>
      </c>
      <c r="D154" s="170">
        <f>IF(F153+SUM(E$99:E153)=D$92,F153,D$92-SUM(E$99:E153))</f>
        <v>0</v>
      </c>
      <c r="E154" s="170">
        <f t="shared" si="16"/>
        <v>0</v>
      </c>
      <c r="F154" s="169">
        <f t="shared" si="17"/>
        <v>0</v>
      </c>
      <c r="G154" s="169">
        <f t="shared" si="18"/>
        <v>0</v>
      </c>
      <c r="H154" s="345">
        <f t="shared" si="13"/>
        <v>0</v>
      </c>
      <c r="I154" s="346">
        <f t="shared" si="14"/>
        <v>0</v>
      </c>
      <c r="J154" s="173">
        <f t="shared" si="19"/>
        <v>0</v>
      </c>
      <c r="K154" s="162"/>
      <c r="L154" s="336"/>
      <c r="M154" s="173">
        <f t="shared" si="20"/>
        <v>0</v>
      </c>
      <c r="N154" s="336"/>
      <c r="O154" s="173">
        <f t="shared" si="21"/>
        <v>0</v>
      </c>
      <c r="P154" s="173">
        <f t="shared" si="22"/>
        <v>0</v>
      </c>
    </row>
    <row r="155" spans="2:16">
      <c r="C155" s="158" t="s">
        <v>72</v>
      </c>
      <c r="D155" s="115"/>
      <c r="E155" s="115">
        <f>SUM(E99:E154)</f>
        <v>1344939</v>
      </c>
      <c r="F155" s="115"/>
      <c r="G155" s="115"/>
      <c r="H155" s="115">
        <f>SUM(H99:H154)</f>
        <v>4383173.1560718669</v>
      </c>
      <c r="I155" s="115">
        <f>SUM(I99:I154)</f>
        <v>4383173.1560718669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conditionalFormatting sqref="C17:C72">
    <cfRule type="cellIs" dxfId="9" priority="1" stopIfTrue="1" operator="equal">
      <formula>$I$10</formula>
    </cfRule>
  </conditionalFormatting>
  <conditionalFormatting sqref="C99:C154">
    <cfRule type="cellIs" dxfId="8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zoomScale="70" zoomScaleNormal="70" workbookViewId="0"/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"&amp;RIGHT(MID(CELL("filename",$A$1),FIND("]",CELL("filename",$A$1))+1,256),2)&amp;" of "&amp;COUNT('P.001:P.xyz - blank'!$P$3)-1</f>
        <v>PSO Project 26 of 28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275</v>
      </c>
      <c r="L5" s="119"/>
      <c r="M5" s="120"/>
      <c r="N5" s="121">
        <f>VLOOKUP(I10,C17:I72,5)</f>
        <v>934062.15757277235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276</v>
      </c>
      <c r="L6" s="125"/>
      <c r="M6" s="4"/>
      <c r="N6" s="126">
        <f>VLOOKUP(I10,C17:I72,6)</f>
        <v>934062.15757277235</v>
      </c>
      <c r="O6" s="1"/>
      <c r="P6" s="1"/>
    </row>
    <row r="7" spans="1:16" ht="13.5" thickBot="1">
      <c r="C7" s="127" t="s">
        <v>41</v>
      </c>
      <c r="D7" s="227" t="s">
        <v>323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/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43</v>
      </c>
      <c r="D9" s="229"/>
      <c r="E9" s="427" t="s">
        <v>324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7156000</v>
      </c>
      <c r="E10" s="64" t="s">
        <v>46</v>
      </c>
      <c r="F10" s="137"/>
      <c r="G10" s="139"/>
      <c r="H10" s="139"/>
      <c r="I10" s="140">
        <f>+PSO.WS.F.BPU.ATRR.Projected!L19</f>
        <v>2020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2019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12</v>
      </c>
      <c r="E12" s="141" t="s">
        <v>51</v>
      </c>
      <c r="F12" s="139"/>
      <c r="G12" s="7"/>
      <c r="H12" s="7"/>
      <c r="I12" s="145">
        <f>PSO.WS.F.BPU.ATRR.Projected!$F$81</f>
        <v>0.10800477690995318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42</v>
      </c>
      <c r="E13" s="141" t="s">
        <v>54</v>
      </c>
      <c r="F13" s="139"/>
      <c r="G13" s="7"/>
      <c r="H13" s="7"/>
      <c r="I13" s="145">
        <f>IF(G5="",I12,PSO.WS.F.BPU.ATRR.Projected!$F$80)</f>
        <v>0.10800477690995318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170380.95238095237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277</v>
      </c>
      <c r="H15" s="362" t="s">
        <v>278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2019</v>
      </c>
      <c r="D17" s="464">
        <v>0</v>
      </c>
      <c r="E17" s="467">
        <v>0</v>
      </c>
      <c r="F17" s="465">
        <v>5024000</v>
      </c>
      <c r="G17" s="467">
        <v>280481.45781944925</v>
      </c>
      <c r="H17" s="466">
        <v>280481.45781944925</v>
      </c>
      <c r="I17" s="160">
        <f t="shared" ref="I17:I72" si="0">H17-G17</f>
        <v>0</v>
      </c>
      <c r="J17" s="160"/>
      <c r="K17" s="337">
        <f>+G17</f>
        <v>280481.45781944925</v>
      </c>
      <c r="L17" s="161">
        <f t="shared" ref="L17" si="1">IF(K17&lt;&gt;0,+G17-K17,0)</f>
        <v>0</v>
      </c>
      <c r="M17" s="337">
        <f>+H17</f>
        <v>280481.45781944925</v>
      </c>
      <c r="N17" s="161">
        <f t="shared" ref="N17" si="2">IF(M17&lt;&gt;0,+H17-M17,0)</f>
        <v>0</v>
      </c>
      <c r="O17" s="162">
        <f t="shared" ref="O17" si="3">+N17-L17</f>
        <v>0</v>
      </c>
      <c r="P17" s="4"/>
    </row>
    <row r="18" spans="2:16">
      <c r="B18" s="9" t="str">
        <f>IF(D18=F17,"","IU")</f>
        <v>IU</v>
      </c>
      <c r="C18" s="157">
        <f>IF(D11="","-",+C17+1)</f>
        <v>2020</v>
      </c>
      <c r="D18" s="166">
        <f>IF(F17+SUM(E$17:E17)=D$10,F17,D$10-SUM(E$17:E17))</f>
        <v>7156000</v>
      </c>
      <c r="E18" s="164">
        <f t="shared" ref="E18:E72" si="4">IF(+I$14&lt;F17,I$14,D18)</f>
        <v>170380.95238095237</v>
      </c>
      <c r="F18" s="163">
        <f t="shared" ref="F18:F72" si="5">+D18-E18</f>
        <v>6985619.0476190476</v>
      </c>
      <c r="G18" s="165">
        <f t="shared" ref="G18:G72" si="6">(D18+F18)/2*I$12+E18</f>
        <v>934062.15757277235</v>
      </c>
      <c r="H18" s="147">
        <f t="shared" ref="H18:H72" si="7">+(D18+F18)/2*I$13+E18</f>
        <v>934062.15757277235</v>
      </c>
      <c r="I18" s="160">
        <f t="shared" si="0"/>
        <v>0</v>
      </c>
      <c r="J18" s="160"/>
      <c r="K18" s="335"/>
      <c r="L18" s="162">
        <f t="shared" ref="L18:L72" si="8">IF(K18&lt;&gt;0,+G18-K18,0)</f>
        <v>0</v>
      </c>
      <c r="M18" s="335"/>
      <c r="N18" s="162">
        <f t="shared" ref="N18:N72" si="9">IF(M18&lt;&gt;0,+H18-M18,0)</f>
        <v>0</v>
      </c>
      <c r="O18" s="162">
        <f t="shared" ref="O18:O72" si="10">+N18-L18</f>
        <v>0</v>
      </c>
      <c r="P18" s="4"/>
    </row>
    <row r="19" spans="2:16">
      <c r="B19" s="9" t="str">
        <f>IF(D19=F18,"","IU")</f>
        <v/>
      </c>
      <c r="C19" s="157">
        <f>IF(D11="","-",+C18+1)</f>
        <v>2021</v>
      </c>
      <c r="D19" s="166">
        <f>IF(F18+SUM(E$17:E18)=D$10,F18,D$10-SUM(E$17:E18))</f>
        <v>6985619.0476190476</v>
      </c>
      <c r="E19" s="164">
        <f t="shared" si="4"/>
        <v>170380.95238095237</v>
      </c>
      <c r="F19" s="163">
        <f t="shared" si="5"/>
        <v>6815238.0952380951</v>
      </c>
      <c r="G19" s="165">
        <f t="shared" si="6"/>
        <v>915660.20082116197</v>
      </c>
      <c r="H19" s="147">
        <f t="shared" si="7"/>
        <v>915660.20082116197</v>
      </c>
      <c r="I19" s="160">
        <f t="shared" si="0"/>
        <v>0</v>
      </c>
      <c r="J19" s="160"/>
      <c r="K19" s="335"/>
      <c r="L19" s="162">
        <f t="shared" si="8"/>
        <v>0</v>
      </c>
      <c r="M19" s="335"/>
      <c r="N19" s="162">
        <f t="shared" si="9"/>
        <v>0</v>
      </c>
      <c r="O19" s="162">
        <f t="shared" si="10"/>
        <v>0</v>
      </c>
      <c r="P19" s="4"/>
    </row>
    <row r="20" spans="2:16">
      <c r="B20" s="9" t="str">
        <f t="shared" ref="B20:B72" si="11">IF(D20=F19,"","IU")</f>
        <v/>
      </c>
      <c r="C20" s="157">
        <f>IF(D11="","-",+C19+1)</f>
        <v>2022</v>
      </c>
      <c r="D20" s="166">
        <f>IF(F19+SUM(E$17:E19)=D$10,F19,D$10-SUM(E$17:E19))</f>
        <v>6815238.0952380951</v>
      </c>
      <c r="E20" s="164">
        <f t="shared" si="4"/>
        <v>170380.95238095237</v>
      </c>
      <c r="F20" s="163">
        <f t="shared" si="5"/>
        <v>6644857.1428571427</v>
      </c>
      <c r="G20" s="165">
        <f t="shared" si="6"/>
        <v>897258.24406955205</v>
      </c>
      <c r="H20" s="147">
        <f t="shared" si="7"/>
        <v>897258.24406955205</v>
      </c>
      <c r="I20" s="160">
        <f t="shared" si="0"/>
        <v>0</v>
      </c>
      <c r="J20" s="160"/>
      <c r="K20" s="335"/>
      <c r="L20" s="162">
        <f t="shared" si="8"/>
        <v>0</v>
      </c>
      <c r="M20" s="335"/>
      <c r="N20" s="162">
        <f t="shared" si="9"/>
        <v>0</v>
      </c>
      <c r="O20" s="162">
        <f t="shared" si="10"/>
        <v>0</v>
      </c>
      <c r="P20" s="4"/>
    </row>
    <row r="21" spans="2:16">
      <c r="B21" s="9" t="str">
        <f t="shared" si="11"/>
        <v/>
      </c>
      <c r="C21" s="157">
        <f>IF(D11="","-",+C20+1)</f>
        <v>2023</v>
      </c>
      <c r="D21" s="166">
        <f>IF(F20+SUM(E$17:E20)=D$10,F20,D$10-SUM(E$17:E20))</f>
        <v>6644857.1428571427</v>
      </c>
      <c r="E21" s="164">
        <f t="shared" si="4"/>
        <v>170380.95238095237</v>
      </c>
      <c r="F21" s="163">
        <f t="shared" si="5"/>
        <v>6474476.1904761903</v>
      </c>
      <c r="G21" s="165">
        <f t="shared" si="6"/>
        <v>878856.2873179419</v>
      </c>
      <c r="H21" s="147">
        <f t="shared" si="7"/>
        <v>878856.2873179419</v>
      </c>
      <c r="I21" s="160">
        <f t="shared" si="0"/>
        <v>0</v>
      </c>
      <c r="J21" s="160"/>
      <c r="K21" s="335"/>
      <c r="L21" s="162">
        <f t="shared" si="8"/>
        <v>0</v>
      </c>
      <c r="M21" s="335"/>
      <c r="N21" s="162">
        <f t="shared" si="9"/>
        <v>0</v>
      </c>
      <c r="O21" s="162">
        <f t="shared" si="10"/>
        <v>0</v>
      </c>
      <c r="P21" s="4"/>
    </row>
    <row r="22" spans="2:16">
      <c r="B22" s="9" t="str">
        <f t="shared" si="11"/>
        <v/>
      </c>
      <c r="C22" s="157">
        <f>IF(D11="","-",+C21+1)</f>
        <v>2024</v>
      </c>
      <c r="D22" s="166">
        <f>IF(F21+SUM(E$17:E21)=D$10,F21,D$10-SUM(E$17:E21))</f>
        <v>6474476.1904761903</v>
      </c>
      <c r="E22" s="164">
        <f t="shared" si="4"/>
        <v>170380.95238095237</v>
      </c>
      <c r="F22" s="163">
        <f t="shared" si="5"/>
        <v>6304095.2380952379</v>
      </c>
      <c r="G22" s="165">
        <f t="shared" si="6"/>
        <v>860454.33056633174</v>
      </c>
      <c r="H22" s="147">
        <f t="shared" si="7"/>
        <v>860454.33056633174</v>
      </c>
      <c r="I22" s="160">
        <f t="shared" si="0"/>
        <v>0</v>
      </c>
      <c r="J22" s="160"/>
      <c r="K22" s="335"/>
      <c r="L22" s="162">
        <f t="shared" si="8"/>
        <v>0</v>
      </c>
      <c r="M22" s="335"/>
      <c r="N22" s="162">
        <f t="shared" si="9"/>
        <v>0</v>
      </c>
      <c r="O22" s="162">
        <f t="shared" si="10"/>
        <v>0</v>
      </c>
      <c r="P22" s="4"/>
    </row>
    <row r="23" spans="2:16">
      <c r="B23" s="9" t="str">
        <f t="shared" si="11"/>
        <v/>
      </c>
      <c r="C23" s="157">
        <f>IF(D11="","-",+C22+1)</f>
        <v>2025</v>
      </c>
      <c r="D23" s="166">
        <f>IF(F22+SUM(E$17:E22)=D$10,F22,D$10-SUM(E$17:E22))</f>
        <v>6304095.2380952379</v>
      </c>
      <c r="E23" s="164">
        <f t="shared" si="4"/>
        <v>170380.95238095237</v>
      </c>
      <c r="F23" s="163">
        <f t="shared" si="5"/>
        <v>6133714.2857142854</v>
      </c>
      <c r="G23" s="165">
        <f t="shared" si="6"/>
        <v>842052.37381472159</v>
      </c>
      <c r="H23" s="147">
        <f t="shared" si="7"/>
        <v>842052.37381472159</v>
      </c>
      <c r="I23" s="160">
        <f t="shared" si="0"/>
        <v>0</v>
      </c>
      <c r="J23" s="160"/>
      <c r="K23" s="335"/>
      <c r="L23" s="162">
        <f t="shared" si="8"/>
        <v>0</v>
      </c>
      <c r="M23" s="335"/>
      <c r="N23" s="162">
        <f t="shared" si="9"/>
        <v>0</v>
      </c>
      <c r="O23" s="162">
        <f t="shared" si="10"/>
        <v>0</v>
      </c>
      <c r="P23" s="4"/>
    </row>
    <row r="24" spans="2:16">
      <c r="B24" s="9" t="str">
        <f t="shared" si="11"/>
        <v/>
      </c>
      <c r="C24" s="157">
        <f>IF(D11="","-",+C23+1)</f>
        <v>2026</v>
      </c>
      <c r="D24" s="166">
        <f>IF(F23+SUM(E$17:E23)=D$10,F23,D$10-SUM(E$17:E23))</f>
        <v>6133714.2857142854</v>
      </c>
      <c r="E24" s="164">
        <f t="shared" si="4"/>
        <v>170380.95238095237</v>
      </c>
      <c r="F24" s="163">
        <f t="shared" si="5"/>
        <v>5963333.333333333</v>
      </c>
      <c r="G24" s="165">
        <f t="shared" si="6"/>
        <v>823650.41706311167</v>
      </c>
      <c r="H24" s="147">
        <f t="shared" si="7"/>
        <v>823650.41706311167</v>
      </c>
      <c r="I24" s="160">
        <f t="shared" si="0"/>
        <v>0</v>
      </c>
      <c r="J24" s="160"/>
      <c r="K24" s="335"/>
      <c r="L24" s="162">
        <f t="shared" si="8"/>
        <v>0</v>
      </c>
      <c r="M24" s="335"/>
      <c r="N24" s="162">
        <f t="shared" si="9"/>
        <v>0</v>
      </c>
      <c r="O24" s="162">
        <f t="shared" si="10"/>
        <v>0</v>
      </c>
      <c r="P24" s="4"/>
    </row>
    <row r="25" spans="2:16">
      <c r="B25" s="9" t="str">
        <f t="shared" si="11"/>
        <v/>
      </c>
      <c r="C25" s="157">
        <f>IF(D11="","-",+C24+1)</f>
        <v>2027</v>
      </c>
      <c r="D25" s="166">
        <f>IF(F24+SUM(E$17:E24)=D$10,F24,D$10-SUM(E$17:E24))</f>
        <v>5963333.333333333</v>
      </c>
      <c r="E25" s="164">
        <f t="shared" si="4"/>
        <v>170380.95238095237</v>
      </c>
      <c r="F25" s="163">
        <f t="shared" si="5"/>
        <v>5792952.3809523806</v>
      </c>
      <c r="G25" s="165">
        <f t="shared" si="6"/>
        <v>805248.46031150129</v>
      </c>
      <c r="H25" s="147">
        <f t="shared" si="7"/>
        <v>805248.46031150129</v>
      </c>
      <c r="I25" s="160">
        <f t="shared" si="0"/>
        <v>0</v>
      </c>
      <c r="J25" s="160"/>
      <c r="K25" s="335"/>
      <c r="L25" s="162">
        <f t="shared" si="8"/>
        <v>0</v>
      </c>
      <c r="M25" s="335"/>
      <c r="N25" s="162">
        <f t="shared" si="9"/>
        <v>0</v>
      </c>
      <c r="O25" s="162">
        <f t="shared" si="10"/>
        <v>0</v>
      </c>
      <c r="P25" s="4"/>
    </row>
    <row r="26" spans="2:16">
      <c r="B26" s="9" t="str">
        <f t="shared" si="11"/>
        <v/>
      </c>
      <c r="C26" s="157">
        <f>IF(D11="","-",+C25+1)</f>
        <v>2028</v>
      </c>
      <c r="D26" s="166">
        <f>IF(F25+SUM(E$17:E25)=D$10,F25,D$10-SUM(E$17:E25))</f>
        <v>5792952.3809523806</v>
      </c>
      <c r="E26" s="164">
        <f t="shared" si="4"/>
        <v>170380.95238095237</v>
      </c>
      <c r="F26" s="163">
        <f t="shared" si="5"/>
        <v>5622571.4285714282</v>
      </c>
      <c r="G26" s="165">
        <f t="shared" si="6"/>
        <v>786846.50355989137</v>
      </c>
      <c r="H26" s="147">
        <f t="shared" si="7"/>
        <v>786846.50355989137</v>
      </c>
      <c r="I26" s="160">
        <f t="shared" si="0"/>
        <v>0</v>
      </c>
      <c r="J26" s="160"/>
      <c r="K26" s="335"/>
      <c r="L26" s="162">
        <f t="shared" si="8"/>
        <v>0</v>
      </c>
      <c r="M26" s="335"/>
      <c r="N26" s="162">
        <f t="shared" si="9"/>
        <v>0</v>
      </c>
      <c r="O26" s="162">
        <f t="shared" si="10"/>
        <v>0</v>
      </c>
      <c r="P26" s="4"/>
    </row>
    <row r="27" spans="2:16">
      <c r="B27" s="9" t="str">
        <f t="shared" si="11"/>
        <v/>
      </c>
      <c r="C27" s="157">
        <f>IF(D11="","-",+C26+1)</f>
        <v>2029</v>
      </c>
      <c r="D27" s="166">
        <f>IF(F26+SUM(E$17:E26)=D$10,F26,D$10-SUM(E$17:E26))</f>
        <v>5622571.4285714282</v>
      </c>
      <c r="E27" s="164">
        <f t="shared" si="4"/>
        <v>170380.95238095237</v>
      </c>
      <c r="F27" s="163">
        <f t="shared" si="5"/>
        <v>5452190.4761904757</v>
      </c>
      <c r="G27" s="165">
        <f t="shared" si="6"/>
        <v>768444.54680828121</v>
      </c>
      <c r="H27" s="147">
        <f t="shared" si="7"/>
        <v>768444.54680828121</v>
      </c>
      <c r="I27" s="160">
        <f t="shared" si="0"/>
        <v>0</v>
      </c>
      <c r="J27" s="160"/>
      <c r="K27" s="335"/>
      <c r="L27" s="162">
        <f t="shared" si="8"/>
        <v>0</v>
      </c>
      <c r="M27" s="335"/>
      <c r="N27" s="162">
        <f t="shared" si="9"/>
        <v>0</v>
      </c>
      <c r="O27" s="162">
        <f t="shared" si="10"/>
        <v>0</v>
      </c>
      <c r="P27" s="4"/>
    </row>
    <row r="28" spans="2:16">
      <c r="B28" s="9" t="str">
        <f t="shared" si="11"/>
        <v/>
      </c>
      <c r="C28" s="157">
        <f>IF(D11="","-",+C27+1)</f>
        <v>2030</v>
      </c>
      <c r="D28" s="166">
        <f>IF(F27+SUM(E$17:E27)=D$10,F27,D$10-SUM(E$17:E27))</f>
        <v>5452190.4761904757</v>
      </c>
      <c r="E28" s="164">
        <f t="shared" si="4"/>
        <v>170380.95238095237</v>
      </c>
      <c r="F28" s="163">
        <f t="shared" si="5"/>
        <v>5281809.5238095233</v>
      </c>
      <c r="G28" s="165">
        <f t="shared" si="6"/>
        <v>750042.59005667106</v>
      </c>
      <c r="H28" s="147">
        <f t="shared" si="7"/>
        <v>750042.59005667106</v>
      </c>
      <c r="I28" s="160">
        <f t="shared" si="0"/>
        <v>0</v>
      </c>
      <c r="J28" s="160"/>
      <c r="K28" s="335"/>
      <c r="L28" s="162">
        <f t="shared" si="8"/>
        <v>0</v>
      </c>
      <c r="M28" s="335"/>
      <c r="N28" s="162">
        <f t="shared" si="9"/>
        <v>0</v>
      </c>
      <c r="O28" s="162">
        <f t="shared" si="10"/>
        <v>0</v>
      </c>
      <c r="P28" s="4"/>
    </row>
    <row r="29" spans="2:16">
      <c r="B29" s="9" t="str">
        <f t="shared" si="11"/>
        <v/>
      </c>
      <c r="C29" s="157">
        <f>IF(D11="","-",+C28+1)</f>
        <v>2031</v>
      </c>
      <c r="D29" s="166">
        <f>IF(F28+SUM(E$17:E28)=D$10,F28,D$10-SUM(E$17:E28))</f>
        <v>5281809.5238095233</v>
      </c>
      <c r="E29" s="164">
        <f t="shared" si="4"/>
        <v>170380.95238095237</v>
      </c>
      <c r="F29" s="163">
        <f t="shared" si="5"/>
        <v>5111428.5714285709</v>
      </c>
      <c r="G29" s="165">
        <f t="shared" si="6"/>
        <v>731640.63330506091</v>
      </c>
      <c r="H29" s="147">
        <f t="shared" si="7"/>
        <v>731640.63330506091</v>
      </c>
      <c r="I29" s="160">
        <f t="shared" si="0"/>
        <v>0</v>
      </c>
      <c r="J29" s="160"/>
      <c r="K29" s="335"/>
      <c r="L29" s="162">
        <f t="shared" si="8"/>
        <v>0</v>
      </c>
      <c r="M29" s="335"/>
      <c r="N29" s="162">
        <f t="shared" si="9"/>
        <v>0</v>
      </c>
      <c r="O29" s="162">
        <f t="shared" si="10"/>
        <v>0</v>
      </c>
      <c r="P29" s="4"/>
    </row>
    <row r="30" spans="2:16">
      <c r="B30" s="9" t="str">
        <f t="shared" si="11"/>
        <v/>
      </c>
      <c r="C30" s="157">
        <f>IF(D11="","-",+C29+1)</f>
        <v>2032</v>
      </c>
      <c r="D30" s="166">
        <f>IF(F29+SUM(E$17:E29)=D$10,F29,D$10-SUM(E$17:E29))</f>
        <v>5111428.5714285709</v>
      </c>
      <c r="E30" s="164">
        <f t="shared" si="4"/>
        <v>170380.95238095237</v>
      </c>
      <c r="F30" s="163">
        <f t="shared" si="5"/>
        <v>4941047.6190476185</v>
      </c>
      <c r="G30" s="165">
        <f t="shared" si="6"/>
        <v>713238.67655345076</v>
      </c>
      <c r="H30" s="147">
        <f t="shared" si="7"/>
        <v>713238.67655345076</v>
      </c>
      <c r="I30" s="160">
        <f t="shared" si="0"/>
        <v>0</v>
      </c>
      <c r="J30" s="160"/>
      <c r="K30" s="335"/>
      <c r="L30" s="162">
        <f t="shared" si="8"/>
        <v>0</v>
      </c>
      <c r="M30" s="335"/>
      <c r="N30" s="162">
        <f t="shared" si="9"/>
        <v>0</v>
      </c>
      <c r="O30" s="162">
        <f t="shared" si="10"/>
        <v>0</v>
      </c>
      <c r="P30" s="4"/>
    </row>
    <row r="31" spans="2:16">
      <c r="B31" s="9" t="str">
        <f t="shared" si="11"/>
        <v/>
      </c>
      <c r="C31" s="157">
        <f>IF(D11="","-",+C30+1)</f>
        <v>2033</v>
      </c>
      <c r="D31" s="166">
        <f>IF(F30+SUM(E$17:E30)=D$10,F30,D$10-SUM(E$17:E30))</f>
        <v>4941047.6190476185</v>
      </c>
      <c r="E31" s="164">
        <f t="shared" si="4"/>
        <v>170380.95238095237</v>
      </c>
      <c r="F31" s="163">
        <f t="shared" si="5"/>
        <v>4770666.666666666</v>
      </c>
      <c r="G31" s="165">
        <f t="shared" si="6"/>
        <v>694836.71980184061</v>
      </c>
      <c r="H31" s="147">
        <f t="shared" si="7"/>
        <v>694836.71980184061</v>
      </c>
      <c r="I31" s="160">
        <f t="shared" si="0"/>
        <v>0</v>
      </c>
      <c r="J31" s="160"/>
      <c r="K31" s="335"/>
      <c r="L31" s="162">
        <f t="shared" si="8"/>
        <v>0</v>
      </c>
      <c r="M31" s="335"/>
      <c r="N31" s="162">
        <f t="shared" si="9"/>
        <v>0</v>
      </c>
      <c r="O31" s="162">
        <f t="shared" si="10"/>
        <v>0</v>
      </c>
      <c r="P31" s="4"/>
    </row>
    <row r="32" spans="2:16">
      <c r="B32" s="9" t="str">
        <f t="shared" si="11"/>
        <v/>
      </c>
      <c r="C32" s="157">
        <f>IF(D11="","-",+C31+1)</f>
        <v>2034</v>
      </c>
      <c r="D32" s="166">
        <f>IF(F31+SUM(E$17:E31)=D$10,F31,D$10-SUM(E$17:E31))</f>
        <v>4770666.666666666</v>
      </c>
      <c r="E32" s="164">
        <f t="shared" si="4"/>
        <v>170380.95238095237</v>
      </c>
      <c r="F32" s="163">
        <f t="shared" si="5"/>
        <v>4600285.7142857136</v>
      </c>
      <c r="G32" s="165">
        <f t="shared" si="6"/>
        <v>676434.76305023057</v>
      </c>
      <c r="H32" s="147">
        <f t="shared" si="7"/>
        <v>676434.76305023057</v>
      </c>
      <c r="I32" s="160">
        <f t="shared" si="0"/>
        <v>0</v>
      </c>
      <c r="J32" s="160"/>
      <c r="K32" s="335"/>
      <c r="L32" s="162">
        <f t="shared" si="8"/>
        <v>0</v>
      </c>
      <c r="M32" s="335"/>
      <c r="N32" s="162">
        <f t="shared" si="9"/>
        <v>0</v>
      </c>
      <c r="O32" s="162">
        <f t="shared" si="10"/>
        <v>0</v>
      </c>
      <c r="P32" s="4"/>
    </row>
    <row r="33" spans="2:16">
      <c r="B33" s="9" t="str">
        <f t="shared" si="11"/>
        <v/>
      </c>
      <c r="C33" s="157">
        <f>IF(D11="","-",+C32+1)</f>
        <v>2035</v>
      </c>
      <c r="D33" s="166">
        <f>IF(F32+SUM(E$17:E32)=D$10,F32,D$10-SUM(E$17:E32))</f>
        <v>4600285.7142857136</v>
      </c>
      <c r="E33" s="164">
        <f t="shared" si="4"/>
        <v>170380.95238095237</v>
      </c>
      <c r="F33" s="163">
        <f t="shared" si="5"/>
        <v>4429904.7619047612</v>
      </c>
      <c r="G33" s="165">
        <f t="shared" si="6"/>
        <v>658032.8062986203</v>
      </c>
      <c r="H33" s="147">
        <f t="shared" si="7"/>
        <v>658032.8062986203</v>
      </c>
      <c r="I33" s="160">
        <f t="shared" si="0"/>
        <v>0</v>
      </c>
      <c r="J33" s="160"/>
      <c r="K33" s="335"/>
      <c r="L33" s="162">
        <f t="shared" si="8"/>
        <v>0</v>
      </c>
      <c r="M33" s="335"/>
      <c r="N33" s="162">
        <f t="shared" si="9"/>
        <v>0</v>
      </c>
      <c r="O33" s="162">
        <f t="shared" si="10"/>
        <v>0</v>
      </c>
      <c r="P33" s="4"/>
    </row>
    <row r="34" spans="2:16">
      <c r="B34" s="9" t="str">
        <f t="shared" si="11"/>
        <v/>
      </c>
      <c r="C34" s="157">
        <f>IF(D11="","-",+C33+1)</f>
        <v>2036</v>
      </c>
      <c r="D34" s="166">
        <f>IF(F33+SUM(E$17:E33)=D$10,F33,D$10-SUM(E$17:E33))</f>
        <v>4429904.7619047612</v>
      </c>
      <c r="E34" s="164">
        <f t="shared" si="4"/>
        <v>170380.95238095237</v>
      </c>
      <c r="F34" s="163">
        <f t="shared" si="5"/>
        <v>4259523.8095238088</v>
      </c>
      <c r="G34" s="165">
        <f t="shared" si="6"/>
        <v>639630.84954701038</v>
      </c>
      <c r="H34" s="147">
        <f t="shared" si="7"/>
        <v>639630.84954701038</v>
      </c>
      <c r="I34" s="160">
        <f t="shared" si="0"/>
        <v>0</v>
      </c>
      <c r="J34" s="160"/>
      <c r="K34" s="335"/>
      <c r="L34" s="162">
        <f t="shared" si="8"/>
        <v>0</v>
      </c>
      <c r="M34" s="335"/>
      <c r="N34" s="162">
        <f t="shared" si="9"/>
        <v>0</v>
      </c>
      <c r="O34" s="162">
        <f t="shared" si="10"/>
        <v>0</v>
      </c>
      <c r="P34" s="4"/>
    </row>
    <row r="35" spans="2:16">
      <c r="B35" s="9" t="str">
        <f t="shared" si="11"/>
        <v/>
      </c>
      <c r="C35" s="157">
        <f>IF(D11="","-",+C34+1)</f>
        <v>2037</v>
      </c>
      <c r="D35" s="166">
        <f>IF(F34+SUM(E$17:E34)=D$10,F34,D$10-SUM(E$17:E34))</f>
        <v>4259523.8095238088</v>
      </c>
      <c r="E35" s="164">
        <f t="shared" si="4"/>
        <v>170380.95238095237</v>
      </c>
      <c r="F35" s="163">
        <f t="shared" si="5"/>
        <v>4089142.8571428563</v>
      </c>
      <c r="G35" s="165">
        <f t="shared" si="6"/>
        <v>621228.89279540023</v>
      </c>
      <c r="H35" s="147">
        <f t="shared" si="7"/>
        <v>621228.89279540023</v>
      </c>
      <c r="I35" s="160">
        <f t="shared" si="0"/>
        <v>0</v>
      </c>
      <c r="J35" s="160"/>
      <c r="K35" s="335"/>
      <c r="L35" s="162">
        <f t="shared" si="8"/>
        <v>0</v>
      </c>
      <c r="M35" s="335"/>
      <c r="N35" s="162">
        <f t="shared" si="9"/>
        <v>0</v>
      </c>
      <c r="O35" s="162">
        <f t="shared" si="10"/>
        <v>0</v>
      </c>
      <c r="P35" s="4"/>
    </row>
    <row r="36" spans="2:16">
      <c r="B36" s="9" t="str">
        <f t="shared" si="11"/>
        <v/>
      </c>
      <c r="C36" s="157">
        <f>IF(D11="","-",+C35+1)</f>
        <v>2038</v>
      </c>
      <c r="D36" s="166">
        <f>IF(F35+SUM(E$17:E35)=D$10,F35,D$10-SUM(E$17:E35))</f>
        <v>4089142.8571428563</v>
      </c>
      <c r="E36" s="164">
        <f t="shared" si="4"/>
        <v>170380.95238095237</v>
      </c>
      <c r="F36" s="163">
        <f t="shared" si="5"/>
        <v>3918761.9047619039</v>
      </c>
      <c r="G36" s="165">
        <f t="shared" si="6"/>
        <v>602826.93604379008</v>
      </c>
      <c r="H36" s="147">
        <f t="shared" si="7"/>
        <v>602826.93604379008</v>
      </c>
      <c r="I36" s="160">
        <f t="shared" si="0"/>
        <v>0</v>
      </c>
      <c r="J36" s="160"/>
      <c r="K36" s="335"/>
      <c r="L36" s="162">
        <f t="shared" si="8"/>
        <v>0</v>
      </c>
      <c r="M36" s="335"/>
      <c r="N36" s="162">
        <f t="shared" si="9"/>
        <v>0</v>
      </c>
      <c r="O36" s="162">
        <f t="shared" si="10"/>
        <v>0</v>
      </c>
      <c r="P36" s="4"/>
    </row>
    <row r="37" spans="2:16">
      <c r="B37" s="9" t="str">
        <f t="shared" si="11"/>
        <v/>
      </c>
      <c r="C37" s="157">
        <f>IF(D11="","-",+C36+1)</f>
        <v>2039</v>
      </c>
      <c r="D37" s="166">
        <f>IF(F36+SUM(E$17:E36)=D$10,F36,D$10-SUM(E$17:E36))</f>
        <v>3918761.9047619039</v>
      </c>
      <c r="E37" s="164">
        <f t="shared" si="4"/>
        <v>170380.95238095237</v>
      </c>
      <c r="F37" s="163">
        <f t="shared" si="5"/>
        <v>3748380.9523809515</v>
      </c>
      <c r="G37" s="165">
        <f t="shared" si="6"/>
        <v>584424.97929217992</v>
      </c>
      <c r="H37" s="147">
        <f t="shared" si="7"/>
        <v>584424.97929217992</v>
      </c>
      <c r="I37" s="160">
        <f t="shared" si="0"/>
        <v>0</v>
      </c>
      <c r="J37" s="160"/>
      <c r="K37" s="335"/>
      <c r="L37" s="162">
        <f t="shared" si="8"/>
        <v>0</v>
      </c>
      <c r="M37" s="335"/>
      <c r="N37" s="162">
        <f t="shared" si="9"/>
        <v>0</v>
      </c>
      <c r="O37" s="162">
        <f t="shared" si="10"/>
        <v>0</v>
      </c>
      <c r="P37" s="4"/>
    </row>
    <row r="38" spans="2:16">
      <c r="B38" s="9" t="str">
        <f t="shared" si="11"/>
        <v/>
      </c>
      <c r="C38" s="157">
        <f>IF(D11="","-",+C37+1)</f>
        <v>2040</v>
      </c>
      <c r="D38" s="166">
        <f>IF(F37+SUM(E$17:E37)=D$10,F37,D$10-SUM(E$17:E37))</f>
        <v>3748380.9523809515</v>
      </c>
      <c r="E38" s="164">
        <f t="shared" si="4"/>
        <v>170380.95238095237</v>
      </c>
      <c r="F38" s="163">
        <f t="shared" si="5"/>
        <v>3577999.9999999991</v>
      </c>
      <c r="G38" s="165">
        <f t="shared" si="6"/>
        <v>566023.02254056977</v>
      </c>
      <c r="H38" s="147">
        <f t="shared" si="7"/>
        <v>566023.02254056977</v>
      </c>
      <c r="I38" s="160">
        <f t="shared" si="0"/>
        <v>0</v>
      </c>
      <c r="J38" s="160"/>
      <c r="K38" s="335"/>
      <c r="L38" s="162">
        <f t="shared" si="8"/>
        <v>0</v>
      </c>
      <c r="M38" s="335"/>
      <c r="N38" s="162">
        <f t="shared" si="9"/>
        <v>0</v>
      </c>
      <c r="O38" s="162">
        <f t="shared" si="10"/>
        <v>0</v>
      </c>
      <c r="P38" s="4"/>
    </row>
    <row r="39" spans="2:16">
      <c r="B39" s="9" t="str">
        <f t="shared" si="11"/>
        <v/>
      </c>
      <c r="C39" s="157">
        <f>IF(D11="","-",+C38+1)</f>
        <v>2041</v>
      </c>
      <c r="D39" s="166">
        <f>IF(F38+SUM(E$17:E38)=D$10,F38,D$10-SUM(E$17:E38))</f>
        <v>3577999.9999999991</v>
      </c>
      <c r="E39" s="164">
        <f t="shared" si="4"/>
        <v>170380.95238095237</v>
      </c>
      <c r="F39" s="163">
        <f t="shared" si="5"/>
        <v>3407619.0476190466</v>
      </c>
      <c r="G39" s="165">
        <f t="shared" si="6"/>
        <v>547621.06578895962</v>
      </c>
      <c r="H39" s="147">
        <f t="shared" si="7"/>
        <v>547621.06578895962</v>
      </c>
      <c r="I39" s="160">
        <f t="shared" si="0"/>
        <v>0</v>
      </c>
      <c r="J39" s="160"/>
      <c r="K39" s="335"/>
      <c r="L39" s="162">
        <f t="shared" si="8"/>
        <v>0</v>
      </c>
      <c r="M39" s="335"/>
      <c r="N39" s="162">
        <f t="shared" si="9"/>
        <v>0</v>
      </c>
      <c r="O39" s="162">
        <f t="shared" si="10"/>
        <v>0</v>
      </c>
      <c r="P39" s="4"/>
    </row>
    <row r="40" spans="2:16">
      <c r="B40" s="9" t="str">
        <f t="shared" si="11"/>
        <v/>
      </c>
      <c r="C40" s="157">
        <f>IF(D11="","-",+C39+1)</f>
        <v>2042</v>
      </c>
      <c r="D40" s="166">
        <f>IF(F39+SUM(E$17:E39)=D$10,F39,D$10-SUM(E$17:E39))</f>
        <v>3407619.0476190466</v>
      </c>
      <c r="E40" s="164">
        <f t="shared" si="4"/>
        <v>170380.95238095237</v>
      </c>
      <c r="F40" s="163">
        <f t="shared" si="5"/>
        <v>3237238.0952380942</v>
      </c>
      <c r="G40" s="165">
        <f t="shared" si="6"/>
        <v>529219.10903734958</v>
      </c>
      <c r="H40" s="147">
        <f t="shared" si="7"/>
        <v>529219.10903734958</v>
      </c>
      <c r="I40" s="160">
        <f t="shared" si="0"/>
        <v>0</v>
      </c>
      <c r="J40" s="160"/>
      <c r="K40" s="335"/>
      <c r="L40" s="162">
        <f t="shared" si="8"/>
        <v>0</v>
      </c>
      <c r="M40" s="335"/>
      <c r="N40" s="162">
        <f t="shared" si="9"/>
        <v>0</v>
      </c>
      <c r="O40" s="162">
        <f t="shared" si="10"/>
        <v>0</v>
      </c>
      <c r="P40" s="4"/>
    </row>
    <row r="41" spans="2:16">
      <c r="B41" s="9" t="str">
        <f t="shared" si="11"/>
        <v/>
      </c>
      <c r="C41" s="157">
        <f>IF(D11="","-",+C40+1)</f>
        <v>2043</v>
      </c>
      <c r="D41" s="166">
        <f>IF(F40+SUM(E$17:E40)=D$10,F40,D$10-SUM(E$17:E40))</f>
        <v>3237238.0952380942</v>
      </c>
      <c r="E41" s="164">
        <f t="shared" si="4"/>
        <v>170380.95238095237</v>
      </c>
      <c r="F41" s="163">
        <f t="shared" si="5"/>
        <v>3066857.1428571418</v>
      </c>
      <c r="G41" s="165">
        <f t="shared" si="6"/>
        <v>510817.15228573943</v>
      </c>
      <c r="H41" s="147">
        <f t="shared" si="7"/>
        <v>510817.15228573943</v>
      </c>
      <c r="I41" s="160">
        <f t="shared" si="0"/>
        <v>0</v>
      </c>
      <c r="J41" s="160"/>
      <c r="K41" s="335"/>
      <c r="L41" s="162">
        <f t="shared" si="8"/>
        <v>0</v>
      </c>
      <c r="M41" s="335"/>
      <c r="N41" s="162">
        <f t="shared" si="9"/>
        <v>0</v>
      </c>
      <c r="O41" s="162">
        <f t="shared" si="10"/>
        <v>0</v>
      </c>
      <c r="P41" s="4"/>
    </row>
    <row r="42" spans="2:16">
      <c r="B42" s="9" t="str">
        <f t="shared" si="11"/>
        <v/>
      </c>
      <c r="C42" s="157">
        <f>IF(D11="","-",+C41+1)</f>
        <v>2044</v>
      </c>
      <c r="D42" s="166">
        <f>IF(F41+SUM(E$17:E41)=D$10,F41,D$10-SUM(E$17:E41))</f>
        <v>3066857.1428571418</v>
      </c>
      <c r="E42" s="164">
        <f t="shared" si="4"/>
        <v>170380.95238095237</v>
      </c>
      <c r="F42" s="163">
        <f t="shared" si="5"/>
        <v>2896476.1904761894</v>
      </c>
      <c r="G42" s="165">
        <f t="shared" si="6"/>
        <v>492415.19553412934</v>
      </c>
      <c r="H42" s="147">
        <f t="shared" si="7"/>
        <v>492415.19553412934</v>
      </c>
      <c r="I42" s="160">
        <f t="shared" si="0"/>
        <v>0</v>
      </c>
      <c r="J42" s="160"/>
      <c r="K42" s="335"/>
      <c r="L42" s="162">
        <f t="shared" si="8"/>
        <v>0</v>
      </c>
      <c r="M42" s="335"/>
      <c r="N42" s="162">
        <f t="shared" si="9"/>
        <v>0</v>
      </c>
      <c r="O42" s="162">
        <f t="shared" si="10"/>
        <v>0</v>
      </c>
      <c r="P42" s="4"/>
    </row>
    <row r="43" spans="2:16">
      <c r="B43" s="9" t="str">
        <f t="shared" si="11"/>
        <v/>
      </c>
      <c r="C43" s="157">
        <f>IF(D11="","-",+C42+1)</f>
        <v>2045</v>
      </c>
      <c r="D43" s="166">
        <f>IF(F42+SUM(E$17:E42)=D$10,F42,D$10-SUM(E$17:E42))</f>
        <v>2896476.1904761894</v>
      </c>
      <c r="E43" s="164">
        <f t="shared" si="4"/>
        <v>170380.95238095237</v>
      </c>
      <c r="F43" s="163">
        <f t="shared" si="5"/>
        <v>2726095.2380952369</v>
      </c>
      <c r="G43" s="165">
        <f t="shared" si="6"/>
        <v>474013.23878251918</v>
      </c>
      <c r="H43" s="147">
        <f t="shared" si="7"/>
        <v>474013.23878251918</v>
      </c>
      <c r="I43" s="160">
        <f t="shared" si="0"/>
        <v>0</v>
      </c>
      <c r="J43" s="160"/>
      <c r="K43" s="335"/>
      <c r="L43" s="162">
        <f t="shared" si="8"/>
        <v>0</v>
      </c>
      <c r="M43" s="335"/>
      <c r="N43" s="162">
        <f t="shared" si="9"/>
        <v>0</v>
      </c>
      <c r="O43" s="162">
        <f t="shared" si="10"/>
        <v>0</v>
      </c>
      <c r="P43" s="4"/>
    </row>
    <row r="44" spans="2:16">
      <c r="B44" s="9" t="str">
        <f t="shared" si="11"/>
        <v/>
      </c>
      <c r="C44" s="157">
        <f>IF(D11="","-",+C43+1)</f>
        <v>2046</v>
      </c>
      <c r="D44" s="166">
        <f>IF(F43+SUM(E$17:E43)=D$10,F43,D$10-SUM(E$17:E43))</f>
        <v>2726095.2380952369</v>
      </c>
      <c r="E44" s="164">
        <f t="shared" si="4"/>
        <v>170380.95238095237</v>
      </c>
      <c r="F44" s="163">
        <f t="shared" si="5"/>
        <v>2555714.2857142845</v>
      </c>
      <c r="G44" s="165">
        <f t="shared" si="6"/>
        <v>455611.28203090909</v>
      </c>
      <c r="H44" s="147">
        <f t="shared" si="7"/>
        <v>455611.28203090909</v>
      </c>
      <c r="I44" s="160">
        <f t="shared" si="0"/>
        <v>0</v>
      </c>
      <c r="J44" s="160"/>
      <c r="K44" s="335"/>
      <c r="L44" s="162">
        <f t="shared" si="8"/>
        <v>0</v>
      </c>
      <c r="M44" s="335"/>
      <c r="N44" s="162">
        <f t="shared" si="9"/>
        <v>0</v>
      </c>
      <c r="O44" s="162">
        <f t="shared" si="10"/>
        <v>0</v>
      </c>
      <c r="P44" s="4"/>
    </row>
    <row r="45" spans="2:16">
      <c r="B45" s="9" t="str">
        <f t="shared" si="11"/>
        <v/>
      </c>
      <c r="C45" s="157">
        <f>IF(D11="","-",+C44+1)</f>
        <v>2047</v>
      </c>
      <c r="D45" s="166">
        <f>IF(F44+SUM(E$17:E44)=D$10,F44,D$10-SUM(E$17:E44))</f>
        <v>2555714.2857142845</v>
      </c>
      <c r="E45" s="164">
        <f t="shared" si="4"/>
        <v>170380.95238095237</v>
      </c>
      <c r="F45" s="163">
        <f t="shared" si="5"/>
        <v>2385333.3333333321</v>
      </c>
      <c r="G45" s="165">
        <f t="shared" si="6"/>
        <v>437209.32527929894</v>
      </c>
      <c r="H45" s="147">
        <f t="shared" si="7"/>
        <v>437209.32527929894</v>
      </c>
      <c r="I45" s="160">
        <f t="shared" si="0"/>
        <v>0</v>
      </c>
      <c r="J45" s="160"/>
      <c r="K45" s="335"/>
      <c r="L45" s="162">
        <f t="shared" si="8"/>
        <v>0</v>
      </c>
      <c r="M45" s="335"/>
      <c r="N45" s="162">
        <f t="shared" si="9"/>
        <v>0</v>
      </c>
      <c r="O45" s="162">
        <f t="shared" si="10"/>
        <v>0</v>
      </c>
      <c r="P45" s="4"/>
    </row>
    <row r="46" spans="2:16">
      <c r="B46" s="9" t="str">
        <f t="shared" si="11"/>
        <v/>
      </c>
      <c r="C46" s="157">
        <f>IF(D11="","-",+C45+1)</f>
        <v>2048</v>
      </c>
      <c r="D46" s="166">
        <f>IF(F45+SUM(E$17:E45)=D$10,F45,D$10-SUM(E$17:E45))</f>
        <v>2385333.3333333321</v>
      </c>
      <c r="E46" s="164">
        <f t="shared" si="4"/>
        <v>170380.95238095237</v>
      </c>
      <c r="F46" s="163">
        <f t="shared" si="5"/>
        <v>2214952.3809523797</v>
      </c>
      <c r="G46" s="165">
        <f t="shared" si="6"/>
        <v>418807.36852768878</v>
      </c>
      <c r="H46" s="147">
        <f t="shared" si="7"/>
        <v>418807.36852768878</v>
      </c>
      <c r="I46" s="160">
        <f t="shared" si="0"/>
        <v>0</v>
      </c>
      <c r="J46" s="160"/>
      <c r="K46" s="335"/>
      <c r="L46" s="162">
        <f t="shared" si="8"/>
        <v>0</v>
      </c>
      <c r="M46" s="335"/>
      <c r="N46" s="162">
        <f t="shared" si="9"/>
        <v>0</v>
      </c>
      <c r="O46" s="162">
        <f t="shared" si="10"/>
        <v>0</v>
      </c>
      <c r="P46" s="4"/>
    </row>
    <row r="47" spans="2:16">
      <c r="B47" s="9" t="str">
        <f t="shared" si="11"/>
        <v/>
      </c>
      <c r="C47" s="157">
        <f>IF(D11="","-",+C46+1)</f>
        <v>2049</v>
      </c>
      <c r="D47" s="166">
        <f>IF(F46+SUM(E$17:E46)=D$10,F46,D$10-SUM(E$17:E46))</f>
        <v>2214952.3809523797</v>
      </c>
      <c r="E47" s="164">
        <f t="shared" si="4"/>
        <v>170380.95238095237</v>
      </c>
      <c r="F47" s="163">
        <f t="shared" si="5"/>
        <v>2044571.4285714272</v>
      </c>
      <c r="G47" s="165">
        <f t="shared" si="6"/>
        <v>400405.41177607869</v>
      </c>
      <c r="H47" s="147">
        <f t="shared" si="7"/>
        <v>400405.41177607869</v>
      </c>
      <c r="I47" s="160">
        <f t="shared" si="0"/>
        <v>0</v>
      </c>
      <c r="J47" s="160"/>
      <c r="K47" s="335"/>
      <c r="L47" s="162">
        <f t="shared" si="8"/>
        <v>0</v>
      </c>
      <c r="M47" s="335"/>
      <c r="N47" s="162">
        <f t="shared" si="9"/>
        <v>0</v>
      </c>
      <c r="O47" s="162">
        <f t="shared" si="10"/>
        <v>0</v>
      </c>
      <c r="P47" s="4"/>
    </row>
    <row r="48" spans="2:16">
      <c r="B48" s="9" t="str">
        <f t="shared" si="11"/>
        <v/>
      </c>
      <c r="C48" s="157">
        <f>IF(D11="","-",+C47+1)</f>
        <v>2050</v>
      </c>
      <c r="D48" s="166">
        <f>IF(F47+SUM(E$17:E47)=D$10,F47,D$10-SUM(E$17:E47))</f>
        <v>2044571.4285714272</v>
      </c>
      <c r="E48" s="164">
        <f t="shared" si="4"/>
        <v>170380.95238095237</v>
      </c>
      <c r="F48" s="163">
        <f t="shared" si="5"/>
        <v>1874190.4761904748</v>
      </c>
      <c r="G48" s="165">
        <f t="shared" si="6"/>
        <v>382003.4550244686</v>
      </c>
      <c r="H48" s="147">
        <f t="shared" si="7"/>
        <v>382003.4550244686</v>
      </c>
      <c r="I48" s="160">
        <f t="shared" si="0"/>
        <v>0</v>
      </c>
      <c r="J48" s="160"/>
      <c r="K48" s="335"/>
      <c r="L48" s="162">
        <f t="shared" si="8"/>
        <v>0</v>
      </c>
      <c r="M48" s="335"/>
      <c r="N48" s="162">
        <f t="shared" si="9"/>
        <v>0</v>
      </c>
      <c r="O48" s="162">
        <f t="shared" si="10"/>
        <v>0</v>
      </c>
      <c r="P48" s="4"/>
    </row>
    <row r="49" spans="2:16">
      <c r="B49" s="9" t="str">
        <f t="shared" si="11"/>
        <v/>
      </c>
      <c r="C49" s="157">
        <f>IF(D11="","-",+C48+1)</f>
        <v>2051</v>
      </c>
      <c r="D49" s="166">
        <f>IF(F48+SUM(E$17:E48)=D$10,F48,D$10-SUM(E$17:E48))</f>
        <v>1874190.4761904748</v>
      </c>
      <c r="E49" s="164">
        <f t="shared" si="4"/>
        <v>170380.95238095237</v>
      </c>
      <c r="F49" s="163">
        <f t="shared" si="5"/>
        <v>1703809.5238095224</v>
      </c>
      <c r="G49" s="165">
        <f t="shared" si="6"/>
        <v>363601.49827285844</v>
      </c>
      <c r="H49" s="147">
        <f t="shared" si="7"/>
        <v>363601.49827285844</v>
      </c>
      <c r="I49" s="160">
        <f t="shared" si="0"/>
        <v>0</v>
      </c>
      <c r="J49" s="160"/>
      <c r="K49" s="335"/>
      <c r="L49" s="162">
        <f t="shared" si="8"/>
        <v>0</v>
      </c>
      <c r="M49" s="335"/>
      <c r="N49" s="162">
        <f t="shared" si="9"/>
        <v>0</v>
      </c>
      <c r="O49" s="162">
        <f t="shared" si="10"/>
        <v>0</v>
      </c>
      <c r="P49" s="4"/>
    </row>
    <row r="50" spans="2:16">
      <c r="B50" s="9" t="str">
        <f t="shared" si="11"/>
        <v/>
      </c>
      <c r="C50" s="157">
        <f>IF(D11="","-",+C49+1)</f>
        <v>2052</v>
      </c>
      <c r="D50" s="166">
        <f>IF(F49+SUM(E$17:E49)=D$10,F49,D$10-SUM(E$17:E49))</f>
        <v>1703809.5238095224</v>
      </c>
      <c r="E50" s="164">
        <f t="shared" si="4"/>
        <v>170380.95238095237</v>
      </c>
      <c r="F50" s="163">
        <f t="shared" si="5"/>
        <v>1533428.57142857</v>
      </c>
      <c r="G50" s="165">
        <f t="shared" si="6"/>
        <v>345199.54152124829</v>
      </c>
      <c r="H50" s="147">
        <f t="shared" si="7"/>
        <v>345199.54152124829</v>
      </c>
      <c r="I50" s="160">
        <f t="shared" si="0"/>
        <v>0</v>
      </c>
      <c r="J50" s="160"/>
      <c r="K50" s="335"/>
      <c r="L50" s="162">
        <f t="shared" si="8"/>
        <v>0</v>
      </c>
      <c r="M50" s="335"/>
      <c r="N50" s="162">
        <f t="shared" si="9"/>
        <v>0</v>
      </c>
      <c r="O50" s="162">
        <f t="shared" si="10"/>
        <v>0</v>
      </c>
      <c r="P50" s="4"/>
    </row>
    <row r="51" spans="2:16">
      <c r="B51" s="9" t="str">
        <f t="shared" si="11"/>
        <v/>
      </c>
      <c r="C51" s="157">
        <f>IF(D11="","-",+C50+1)</f>
        <v>2053</v>
      </c>
      <c r="D51" s="166">
        <f>IF(F50+SUM(E$17:E50)=D$10,F50,D$10-SUM(E$17:E50))</f>
        <v>1533428.57142857</v>
      </c>
      <c r="E51" s="164">
        <f t="shared" si="4"/>
        <v>170380.95238095237</v>
      </c>
      <c r="F51" s="163">
        <f t="shared" si="5"/>
        <v>1363047.6190476175</v>
      </c>
      <c r="G51" s="165">
        <f t="shared" si="6"/>
        <v>326797.5847696382</v>
      </c>
      <c r="H51" s="147">
        <f t="shared" si="7"/>
        <v>326797.5847696382</v>
      </c>
      <c r="I51" s="160">
        <f t="shared" si="0"/>
        <v>0</v>
      </c>
      <c r="J51" s="160"/>
      <c r="K51" s="335"/>
      <c r="L51" s="162">
        <f t="shared" si="8"/>
        <v>0</v>
      </c>
      <c r="M51" s="335"/>
      <c r="N51" s="162">
        <f t="shared" si="9"/>
        <v>0</v>
      </c>
      <c r="O51" s="162">
        <f t="shared" si="10"/>
        <v>0</v>
      </c>
      <c r="P51" s="4"/>
    </row>
    <row r="52" spans="2:16">
      <c r="B52" s="9" t="str">
        <f t="shared" si="11"/>
        <v/>
      </c>
      <c r="C52" s="157">
        <f>IF(D11="","-",+C51+1)</f>
        <v>2054</v>
      </c>
      <c r="D52" s="166">
        <f>IF(F51+SUM(E$17:E51)=D$10,F51,D$10-SUM(E$17:E51))</f>
        <v>1363047.6190476175</v>
      </c>
      <c r="E52" s="164">
        <f t="shared" si="4"/>
        <v>170380.95238095237</v>
      </c>
      <c r="F52" s="163">
        <f t="shared" si="5"/>
        <v>1192666.6666666651</v>
      </c>
      <c r="G52" s="165">
        <f t="shared" si="6"/>
        <v>308395.6280180281</v>
      </c>
      <c r="H52" s="147">
        <f t="shared" si="7"/>
        <v>308395.6280180281</v>
      </c>
      <c r="I52" s="160">
        <f t="shared" si="0"/>
        <v>0</v>
      </c>
      <c r="J52" s="160"/>
      <c r="K52" s="335"/>
      <c r="L52" s="162">
        <f t="shared" si="8"/>
        <v>0</v>
      </c>
      <c r="M52" s="335"/>
      <c r="N52" s="162">
        <f t="shared" si="9"/>
        <v>0</v>
      </c>
      <c r="O52" s="162">
        <f t="shared" si="10"/>
        <v>0</v>
      </c>
      <c r="P52" s="4"/>
    </row>
    <row r="53" spans="2:16">
      <c r="B53" s="9" t="str">
        <f t="shared" si="11"/>
        <v/>
      </c>
      <c r="C53" s="157">
        <f>IF(D11="","-",+C52+1)</f>
        <v>2055</v>
      </c>
      <c r="D53" s="166">
        <f>IF(F52+SUM(E$17:E52)=D$10,F52,D$10-SUM(E$17:E52))</f>
        <v>1192666.6666666651</v>
      </c>
      <c r="E53" s="164">
        <f t="shared" si="4"/>
        <v>170380.95238095237</v>
      </c>
      <c r="F53" s="163">
        <f t="shared" si="5"/>
        <v>1022285.7142857127</v>
      </c>
      <c r="G53" s="165">
        <f t="shared" si="6"/>
        <v>289993.67126641795</v>
      </c>
      <c r="H53" s="147">
        <f t="shared" si="7"/>
        <v>289993.67126641795</v>
      </c>
      <c r="I53" s="160">
        <f t="shared" si="0"/>
        <v>0</v>
      </c>
      <c r="J53" s="160"/>
      <c r="K53" s="335"/>
      <c r="L53" s="162">
        <f t="shared" si="8"/>
        <v>0</v>
      </c>
      <c r="M53" s="335"/>
      <c r="N53" s="162">
        <f t="shared" si="9"/>
        <v>0</v>
      </c>
      <c r="O53" s="162">
        <f t="shared" si="10"/>
        <v>0</v>
      </c>
      <c r="P53" s="4"/>
    </row>
    <row r="54" spans="2:16">
      <c r="B54" s="9" t="str">
        <f t="shared" si="11"/>
        <v/>
      </c>
      <c r="C54" s="157">
        <f>IF(D11="","-",+C53+1)</f>
        <v>2056</v>
      </c>
      <c r="D54" s="166">
        <f>IF(F53+SUM(E$17:E53)=D$10,F53,D$10-SUM(E$17:E53))</f>
        <v>1022285.7142857127</v>
      </c>
      <c r="E54" s="164">
        <f t="shared" si="4"/>
        <v>170380.95238095237</v>
      </c>
      <c r="F54" s="163">
        <f t="shared" si="5"/>
        <v>851904.76190476026</v>
      </c>
      <c r="G54" s="165">
        <f t="shared" si="6"/>
        <v>271591.71451480786</v>
      </c>
      <c r="H54" s="147">
        <f t="shared" si="7"/>
        <v>271591.71451480786</v>
      </c>
      <c r="I54" s="160">
        <f t="shared" si="0"/>
        <v>0</v>
      </c>
      <c r="J54" s="160"/>
      <c r="K54" s="335"/>
      <c r="L54" s="162">
        <f t="shared" si="8"/>
        <v>0</v>
      </c>
      <c r="M54" s="335"/>
      <c r="N54" s="162">
        <f t="shared" si="9"/>
        <v>0</v>
      </c>
      <c r="O54" s="162">
        <f t="shared" si="10"/>
        <v>0</v>
      </c>
      <c r="P54" s="4"/>
    </row>
    <row r="55" spans="2:16">
      <c r="B55" s="9" t="str">
        <f t="shared" si="11"/>
        <v/>
      </c>
      <c r="C55" s="157">
        <f>IF(D11="","-",+C54+1)</f>
        <v>2057</v>
      </c>
      <c r="D55" s="166">
        <f>IF(F54+SUM(E$17:E54)=D$10,F54,D$10-SUM(E$17:E54))</f>
        <v>851904.76190476026</v>
      </c>
      <c r="E55" s="164">
        <f t="shared" si="4"/>
        <v>170380.95238095237</v>
      </c>
      <c r="F55" s="163">
        <f t="shared" si="5"/>
        <v>681523.80952380784</v>
      </c>
      <c r="G55" s="165">
        <f t="shared" si="6"/>
        <v>253189.7577631977</v>
      </c>
      <c r="H55" s="147">
        <f t="shared" si="7"/>
        <v>253189.7577631977</v>
      </c>
      <c r="I55" s="160">
        <f t="shared" si="0"/>
        <v>0</v>
      </c>
      <c r="J55" s="160"/>
      <c r="K55" s="335"/>
      <c r="L55" s="162">
        <f t="shared" si="8"/>
        <v>0</v>
      </c>
      <c r="M55" s="335"/>
      <c r="N55" s="162">
        <f t="shared" si="9"/>
        <v>0</v>
      </c>
      <c r="O55" s="162">
        <f t="shared" si="10"/>
        <v>0</v>
      </c>
      <c r="P55" s="4"/>
    </row>
    <row r="56" spans="2:16">
      <c r="B56" s="9" t="str">
        <f t="shared" si="11"/>
        <v/>
      </c>
      <c r="C56" s="157">
        <f>IF(D11="","-",+C55+1)</f>
        <v>2058</v>
      </c>
      <c r="D56" s="166">
        <f>IF(F55+SUM(E$17:E55)=D$10,F55,D$10-SUM(E$17:E55))</f>
        <v>681523.80952380784</v>
      </c>
      <c r="E56" s="164">
        <f t="shared" si="4"/>
        <v>170380.95238095237</v>
      </c>
      <c r="F56" s="163">
        <f t="shared" si="5"/>
        <v>511142.85714285547</v>
      </c>
      <c r="G56" s="165">
        <f t="shared" si="6"/>
        <v>234787.80101158761</v>
      </c>
      <c r="H56" s="147">
        <f t="shared" si="7"/>
        <v>234787.80101158761</v>
      </c>
      <c r="I56" s="160">
        <f t="shared" si="0"/>
        <v>0</v>
      </c>
      <c r="J56" s="160"/>
      <c r="K56" s="335"/>
      <c r="L56" s="162">
        <f t="shared" si="8"/>
        <v>0</v>
      </c>
      <c r="M56" s="335"/>
      <c r="N56" s="162">
        <f t="shared" si="9"/>
        <v>0</v>
      </c>
      <c r="O56" s="162">
        <f t="shared" si="10"/>
        <v>0</v>
      </c>
      <c r="P56" s="4"/>
    </row>
    <row r="57" spans="2:16">
      <c r="B57" s="9" t="str">
        <f t="shared" si="11"/>
        <v/>
      </c>
      <c r="C57" s="157">
        <f>IF(D11="","-",+C56+1)</f>
        <v>2059</v>
      </c>
      <c r="D57" s="166">
        <f>IF(F56+SUM(E$17:E56)=D$10,F56,D$10-SUM(E$17:E56))</f>
        <v>511142.85714285547</v>
      </c>
      <c r="E57" s="164">
        <f t="shared" si="4"/>
        <v>170380.95238095237</v>
      </c>
      <c r="F57" s="163">
        <f t="shared" si="5"/>
        <v>340761.9047619031</v>
      </c>
      <c r="G57" s="165">
        <f t="shared" si="6"/>
        <v>216385.84425997749</v>
      </c>
      <c r="H57" s="147">
        <f t="shared" si="7"/>
        <v>216385.84425997749</v>
      </c>
      <c r="I57" s="160">
        <f t="shared" si="0"/>
        <v>0</v>
      </c>
      <c r="J57" s="160"/>
      <c r="K57" s="335"/>
      <c r="L57" s="162">
        <f t="shared" si="8"/>
        <v>0</v>
      </c>
      <c r="M57" s="335"/>
      <c r="N57" s="162">
        <f t="shared" si="9"/>
        <v>0</v>
      </c>
      <c r="O57" s="162">
        <f t="shared" si="10"/>
        <v>0</v>
      </c>
      <c r="P57" s="4"/>
    </row>
    <row r="58" spans="2:16">
      <c r="B58" s="9" t="str">
        <f t="shared" si="11"/>
        <v/>
      </c>
      <c r="C58" s="157">
        <f>IF(D11="","-",+C57+1)</f>
        <v>2060</v>
      </c>
      <c r="D58" s="166">
        <f>IF(F57+SUM(E$17:E57)=D$10,F57,D$10-SUM(E$17:E57))</f>
        <v>340761.9047619031</v>
      </c>
      <c r="E58" s="164">
        <f t="shared" si="4"/>
        <v>170380.95238095237</v>
      </c>
      <c r="F58" s="163">
        <f t="shared" si="5"/>
        <v>170380.95238095074</v>
      </c>
      <c r="G58" s="165">
        <f t="shared" si="6"/>
        <v>197983.88750836736</v>
      </c>
      <c r="H58" s="147">
        <f t="shared" si="7"/>
        <v>197983.88750836736</v>
      </c>
      <c r="I58" s="160">
        <f t="shared" si="0"/>
        <v>0</v>
      </c>
      <c r="J58" s="160"/>
      <c r="K58" s="335"/>
      <c r="L58" s="162">
        <f t="shared" si="8"/>
        <v>0</v>
      </c>
      <c r="M58" s="335"/>
      <c r="N58" s="162">
        <f t="shared" si="9"/>
        <v>0</v>
      </c>
      <c r="O58" s="162">
        <f t="shared" si="10"/>
        <v>0</v>
      </c>
      <c r="P58" s="4"/>
    </row>
    <row r="59" spans="2:16">
      <c r="B59" s="9" t="str">
        <f t="shared" si="11"/>
        <v/>
      </c>
      <c r="C59" s="157">
        <f>IF(D11="","-",+C58+1)</f>
        <v>2061</v>
      </c>
      <c r="D59" s="166">
        <f>IF(F58+SUM(E$17:E58)=D$10,F58,D$10-SUM(E$17:E58))</f>
        <v>170380.95238095074</v>
      </c>
      <c r="E59" s="164">
        <f t="shared" si="4"/>
        <v>170380.95238095074</v>
      </c>
      <c r="F59" s="163">
        <f t="shared" si="5"/>
        <v>0</v>
      </c>
      <c r="G59" s="165">
        <f t="shared" si="6"/>
        <v>179581.9307567557</v>
      </c>
      <c r="H59" s="147">
        <f t="shared" si="7"/>
        <v>179581.9307567557</v>
      </c>
      <c r="I59" s="160">
        <f t="shared" si="0"/>
        <v>0</v>
      </c>
      <c r="J59" s="160"/>
      <c r="K59" s="335"/>
      <c r="L59" s="162">
        <f t="shared" si="8"/>
        <v>0</v>
      </c>
      <c r="M59" s="335"/>
      <c r="N59" s="162">
        <f t="shared" si="9"/>
        <v>0</v>
      </c>
      <c r="O59" s="162">
        <f t="shared" si="10"/>
        <v>0</v>
      </c>
      <c r="P59" s="4"/>
    </row>
    <row r="60" spans="2:16">
      <c r="B60" s="9" t="str">
        <f t="shared" si="11"/>
        <v/>
      </c>
      <c r="C60" s="157">
        <f>IF(D11="","-",+C59+1)</f>
        <v>2062</v>
      </c>
      <c r="D60" s="166">
        <f>IF(F59+SUM(E$17:E59)=D$10,F59,D$10-SUM(E$17:E59))</f>
        <v>0</v>
      </c>
      <c r="E60" s="164">
        <f t="shared" si="4"/>
        <v>0</v>
      </c>
      <c r="F60" s="163">
        <f t="shared" si="5"/>
        <v>0</v>
      </c>
      <c r="G60" s="165">
        <f t="shared" si="6"/>
        <v>0</v>
      </c>
      <c r="H60" s="147">
        <f t="shared" si="7"/>
        <v>0</v>
      </c>
      <c r="I60" s="160">
        <f t="shared" si="0"/>
        <v>0</v>
      </c>
      <c r="J60" s="160"/>
      <c r="K60" s="335"/>
      <c r="L60" s="162">
        <f t="shared" si="8"/>
        <v>0</v>
      </c>
      <c r="M60" s="335"/>
      <c r="N60" s="162">
        <f t="shared" si="9"/>
        <v>0</v>
      </c>
      <c r="O60" s="162">
        <f t="shared" si="10"/>
        <v>0</v>
      </c>
      <c r="P60" s="4"/>
    </row>
    <row r="61" spans="2:16">
      <c r="B61" s="9" t="str">
        <f t="shared" si="11"/>
        <v/>
      </c>
      <c r="C61" s="157">
        <f>IF(D11="","-",+C60+1)</f>
        <v>2063</v>
      </c>
      <c r="D61" s="166">
        <f>IF(F60+SUM(E$17:E60)=D$10,F60,D$10-SUM(E$17:E60))</f>
        <v>0</v>
      </c>
      <c r="E61" s="164">
        <f t="shared" si="4"/>
        <v>0</v>
      </c>
      <c r="F61" s="163">
        <f t="shared" si="5"/>
        <v>0</v>
      </c>
      <c r="G61" s="165">
        <f t="shared" si="6"/>
        <v>0</v>
      </c>
      <c r="H61" s="147">
        <f t="shared" si="7"/>
        <v>0</v>
      </c>
      <c r="I61" s="160">
        <f t="shared" si="0"/>
        <v>0</v>
      </c>
      <c r="J61" s="160"/>
      <c r="K61" s="335"/>
      <c r="L61" s="162">
        <f t="shared" si="8"/>
        <v>0</v>
      </c>
      <c r="M61" s="335"/>
      <c r="N61" s="162">
        <f t="shared" si="9"/>
        <v>0</v>
      </c>
      <c r="O61" s="162">
        <f t="shared" si="10"/>
        <v>0</v>
      </c>
      <c r="P61" s="4"/>
    </row>
    <row r="62" spans="2:16">
      <c r="B62" s="9" t="str">
        <f t="shared" si="11"/>
        <v/>
      </c>
      <c r="C62" s="157">
        <f>IF(D11="","-",+C61+1)</f>
        <v>2064</v>
      </c>
      <c r="D62" s="166">
        <f>IF(F61+SUM(E$17:E61)=D$10,F61,D$10-SUM(E$17:E61))</f>
        <v>0</v>
      </c>
      <c r="E62" s="164">
        <f t="shared" si="4"/>
        <v>0</v>
      </c>
      <c r="F62" s="163">
        <f t="shared" si="5"/>
        <v>0</v>
      </c>
      <c r="G62" s="165">
        <f t="shared" si="6"/>
        <v>0</v>
      </c>
      <c r="H62" s="147">
        <f t="shared" si="7"/>
        <v>0</v>
      </c>
      <c r="I62" s="160">
        <f t="shared" si="0"/>
        <v>0</v>
      </c>
      <c r="J62" s="160"/>
      <c r="K62" s="335"/>
      <c r="L62" s="162">
        <f t="shared" si="8"/>
        <v>0</v>
      </c>
      <c r="M62" s="335"/>
      <c r="N62" s="162">
        <f t="shared" si="9"/>
        <v>0</v>
      </c>
      <c r="O62" s="162">
        <f t="shared" si="10"/>
        <v>0</v>
      </c>
      <c r="P62" s="4"/>
    </row>
    <row r="63" spans="2:16">
      <c r="B63" s="9" t="str">
        <f t="shared" si="11"/>
        <v/>
      </c>
      <c r="C63" s="157">
        <f>IF(D11="","-",+C62+1)</f>
        <v>2065</v>
      </c>
      <c r="D63" s="166">
        <f>IF(F62+SUM(E$17:E62)=D$10,F62,D$10-SUM(E$17:E62))</f>
        <v>0</v>
      </c>
      <c r="E63" s="164">
        <f t="shared" si="4"/>
        <v>0</v>
      </c>
      <c r="F63" s="163">
        <f t="shared" si="5"/>
        <v>0</v>
      </c>
      <c r="G63" s="165">
        <f t="shared" si="6"/>
        <v>0</v>
      </c>
      <c r="H63" s="147">
        <f t="shared" si="7"/>
        <v>0</v>
      </c>
      <c r="I63" s="160">
        <f t="shared" si="0"/>
        <v>0</v>
      </c>
      <c r="J63" s="160"/>
      <c r="K63" s="335"/>
      <c r="L63" s="162">
        <f t="shared" si="8"/>
        <v>0</v>
      </c>
      <c r="M63" s="335"/>
      <c r="N63" s="162">
        <f t="shared" si="9"/>
        <v>0</v>
      </c>
      <c r="O63" s="162">
        <f t="shared" si="10"/>
        <v>0</v>
      </c>
      <c r="P63" s="4"/>
    </row>
    <row r="64" spans="2:16">
      <c r="B64" s="9" t="str">
        <f t="shared" si="11"/>
        <v/>
      </c>
      <c r="C64" s="157">
        <f>IF(D11="","-",+C63+1)</f>
        <v>2066</v>
      </c>
      <c r="D64" s="166">
        <f>IF(F63+SUM(E$17:E63)=D$10,F63,D$10-SUM(E$17:E63))</f>
        <v>0</v>
      </c>
      <c r="E64" s="164">
        <f t="shared" si="4"/>
        <v>0</v>
      </c>
      <c r="F64" s="163">
        <f t="shared" si="5"/>
        <v>0</v>
      </c>
      <c r="G64" s="165">
        <f t="shared" si="6"/>
        <v>0</v>
      </c>
      <c r="H64" s="147">
        <f t="shared" si="7"/>
        <v>0</v>
      </c>
      <c r="I64" s="160">
        <f t="shared" si="0"/>
        <v>0</v>
      </c>
      <c r="J64" s="160"/>
      <c r="K64" s="335"/>
      <c r="L64" s="162">
        <f t="shared" si="8"/>
        <v>0</v>
      </c>
      <c r="M64" s="335"/>
      <c r="N64" s="162">
        <f t="shared" si="9"/>
        <v>0</v>
      </c>
      <c r="O64" s="162">
        <f t="shared" si="10"/>
        <v>0</v>
      </c>
      <c r="P64" s="4"/>
    </row>
    <row r="65" spans="2:16">
      <c r="B65" s="9" t="str">
        <f t="shared" si="11"/>
        <v/>
      </c>
      <c r="C65" s="157">
        <f>IF(D11="","-",+C64+1)</f>
        <v>2067</v>
      </c>
      <c r="D65" s="166">
        <f>IF(F64+SUM(E$17:E64)=D$10,F64,D$10-SUM(E$17:E64))</f>
        <v>0</v>
      </c>
      <c r="E65" s="164">
        <f t="shared" si="4"/>
        <v>0</v>
      </c>
      <c r="F65" s="163">
        <f t="shared" si="5"/>
        <v>0</v>
      </c>
      <c r="G65" s="165">
        <f t="shared" si="6"/>
        <v>0</v>
      </c>
      <c r="H65" s="147">
        <f t="shared" si="7"/>
        <v>0</v>
      </c>
      <c r="I65" s="160">
        <f t="shared" si="0"/>
        <v>0</v>
      </c>
      <c r="J65" s="160"/>
      <c r="K65" s="335"/>
      <c r="L65" s="162">
        <f t="shared" si="8"/>
        <v>0</v>
      </c>
      <c r="M65" s="335"/>
      <c r="N65" s="162">
        <f t="shared" si="9"/>
        <v>0</v>
      </c>
      <c r="O65" s="162">
        <f t="shared" si="10"/>
        <v>0</v>
      </c>
      <c r="P65" s="4"/>
    </row>
    <row r="66" spans="2:16">
      <c r="B66" s="9" t="str">
        <f t="shared" si="11"/>
        <v/>
      </c>
      <c r="C66" s="157">
        <f>IF(D11="","-",+C65+1)</f>
        <v>2068</v>
      </c>
      <c r="D66" s="166">
        <f>IF(F65+SUM(E$17:E65)=D$10,F65,D$10-SUM(E$17:E65))</f>
        <v>0</v>
      </c>
      <c r="E66" s="164">
        <f t="shared" si="4"/>
        <v>0</v>
      </c>
      <c r="F66" s="163">
        <f t="shared" si="5"/>
        <v>0</v>
      </c>
      <c r="G66" s="165">
        <f t="shared" si="6"/>
        <v>0</v>
      </c>
      <c r="H66" s="147">
        <f t="shared" si="7"/>
        <v>0</v>
      </c>
      <c r="I66" s="160">
        <f t="shared" si="0"/>
        <v>0</v>
      </c>
      <c r="J66" s="160"/>
      <c r="K66" s="335"/>
      <c r="L66" s="162">
        <f t="shared" si="8"/>
        <v>0</v>
      </c>
      <c r="M66" s="335"/>
      <c r="N66" s="162">
        <f t="shared" si="9"/>
        <v>0</v>
      </c>
      <c r="O66" s="162">
        <f t="shared" si="10"/>
        <v>0</v>
      </c>
      <c r="P66" s="4"/>
    </row>
    <row r="67" spans="2:16">
      <c r="B67" s="9" t="str">
        <f t="shared" si="11"/>
        <v/>
      </c>
      <c r="C67" s="157">
        <f>IF(D11="","-",+C66+1)</f>
        <v>2069</v>
      </c>
      <c r="D67" s="166">
        <f>IF(F66+SUM(E$17:E66)=D$10,F66,D$10-SUM(E$17:E66))</f>
        <v>0</v>
      </c>
      <c r="E67" s="164">
        <f t="shared" si="4"/>
        <v>0</v>
      </c>
      <c r="F67" s="163">
        <f t="shared" si="5"/>
        <v>0</v>
      </c>
      <c r="G67" s="165">
        <f t="shared" si="6"/>
        <v>0</v>
      </c>
      <c r="H67" s="147">
        <f t="shared" si="7"/>
        <v>0</v>
      </c>
      <c r="I67" s="160">
        <f t="shared" si="0"/>
        <v>0</v>
      </c>
      <c r="J67" s="160"/>
      <c r="K67" s="335"/>
      <c r="L67" s="162">
        <f t="shared" si="8"/>
        <v>0</v>
      </c>
      <c r="M67" s="335"/>
      <c r="N67" s="162">
        <f t="shared" si="9"/>
        <v>0</v>
      </c>
      <c r="O67" s="162">
        <f t="shared" si="10"/>
        <v>0</v>
      </c>
      <c r="P67" s="4"/>
    </row>
    <row r="68" spans="2:16">
      <c r="B68" s="9" t="str">
        <f t="shared" si="11"/>
        <v/>
      </c>
      <c r="C68" s="157">
        <f>IF(D11="","-",+C67+1)</f>
        <v>2070</v>
      </c>
      <c r="D68" s="166">
        <f>IF(F67+SUM(E$17:E67)=D$10,F67,D$10-SUM(E$17:E67))</f>
        <v>0</v>
      </c>
      <c r="E68" s="164">
        <f t="shared" si="4"/>
        <v>0</v>
      </c>
      <c r="F68" s="163">
        <f t="shared" si="5"/>
        <v>0</v>
      </c>
      <c r="G68" s="165">
        <f t="shared" si="6"/>
        <v>0</v>
      </c>
      <c r="H68" s="147">
        <f t="shared" si="7"/>
        <v>0</v>
      </c>
      <c r="I68" s="160">
        <f t="shared" si="0"/>
        <v>0</v>
      </c>
      <c r="J68" s="160"/>
      <c r="K68" s="335"/>
      <c r="L68" s="162">
        <f t="shared" si="8"/>
        <v>0</v>
      </c>
      <c r="M68" s="335"/>
      <c r="N68" s="162">
        <f t="shared" si="9"/>
        <v>0</v>
      </c>
      <c r="O68" s="162">
        <f t="shared" si="10"/>
        <v>0</v>
      </c>
      <c r="P68" s="4"/>
    </row>
    <row r="69" spans="2:16">
      <c r="B69" s="9" t="str">
        <f t="shared" si="11"/>
        <v/>
      </c>
      <c r="C69" s="157">
        <f>IF(D11="","-",+C68+1)</f>
        <v>2071</v>
      </c>
      <c r="D69" s="166">
        <f>IF(F68+SUM(E$17:E68)=D$10,F68,D$10-SUM(E$17:E68))</f>
        <v>0</v>
      </c>
      <c r="E69" s="164">
        <f t="shared" si="4"/>
        <v>0</v>
      </c>
      <c r="F69" s="163">
        <f t="shared" si="5"/>
        <v>0</v>
      </c>
      <c r="G69" s="165">
        <f t="shared" si="6"/>
        <v>0</v>
      </c>
      <c r="H69" s="147">
        <f t="shared" si="7"/>
        <v>0</v>
      </c>
      <c r="I69" s="160">
        <f t="shared" si="0"/>
        <v>0</v>
      </c>
      <c r="J69" s="160"/>
      <c r="K69" s="335"/>
      <c r="L69" s="162">
        <f t="shared" si="8"/>
        <v>0</v>
      </c>
      <c r="M69" s="335"/>
      <c r="N69" s="162">
        <f t="shared" si="9"/>
        <v>0</v>
      </c>
      <c r="O69" s="162">
        <f t="shared" si="10"/>
        <v>0</v>
      </c>
      <c r="P69" s="4"/>
    </row>
    <row r="70" spans="2:16">
      <c r="B70" s="9" t="str">
        <f t="shared" si="11"/>
        <v/>
      </c>
      <c r="C70" s="157">
        <f>IF(D11="","-",+C69+1)</f>
        <v>2072</v>
      </c>
      <c r="D70" s="166">
        <f>IF(F69+SUM(E$17:E69)=D$10,F69,D$10-SUM(E$17:E69))</f>
        <v>0</v>
      </c>
      <c r="E70" s="164">
        <f t="shared" si="4"/>
        <v>0</v>
      </c>
      <c r="F70" s="163">
        <f t="shared" si="5"/>
        <v>0</v>
      </c>
      <c r="G70" s="165">
        <f t="shared" si="6"/>
        <v>0</v>
      </c>
      <c r="H70" s="147">
        <f t="shared" si="7"/>
        <v>0</v>
      </c>
      <c r="I70" s="160">
        <f t="shared" si="0"/>
        <v>0</v>
      </c>
      <c r="J70" s="160"/>
      <c r="K70" s="335"/>
      <c r="L70" s="162">
        <f t="shared" si="8"/>
        <v>0</v>
      </c>
      <c r="M70" s="335"/>
      <c r="N70" s="162">
        <f t="shared" si="9"/>
        <v>0</v>
      </c>
      <c r="O70" s="162">
        <f t="shared" si="10"/>
        <v>0</v>
      </c>
      <c r="P70" s="4"/>
    </row>
    <row r="71" spans="2:16">
      <c r="B71" s="9" t="str">
        <f t="shared" si="11"/>
        <v/>
      </c>
      <c r="C71" s="157">
        <f>IF(D11="","-",+C70+1)</f>
        <v>2073</v>
      </c>
      <c r="D71" s="166">
        <f>IF(F70+SUM(E$17:E70)=D$10,F70,D$10-SUM(E$17:E70))</f>
        <v>0</v>
      </c>
      <c r="E71" s="164">
        <f t="shared" si="4"/>
        <v>0</v>
      </c>
      <c r="F71" s="163">
        <f t="shared" si="5"/>
        <v>0</v>
      </c>
      <c r="G71" s="165">
        <f t="shared" si="6"/>
        <v>0</v>
      </c>
      <c r="H71" s="147">
        <f t="shared" si="7"/>
        <v>0</v>
      </c>
      <c r="I71" s="160">
        <f t="shared" si="0"/>
        <v>0</v>
      </c>
      <c r="J71" s="160"/>
      <c r="K71" s="335"/>
      <c r="L71" s="162">
        <f t="shared" si="8"/>
        <v>0</v>
      </c>
      <c r="M71" s="335"/>
      <c r="N71" s="162">
        <f t="shared" si="9"/>
        <v>0</v>
      </c>
      <c r="O71" s="162">
        <f t="shared" si="10"/>
        <v>0</v>
      </c>
      <c r="P71" s="4"/>
    </row>
    <row r="72" spans="2:16" ht="13.5" thickBot="1">
      <c r="B72" s="9" t="str">
        <f t="shared" si="11"/>
        <v/>
      </c>
      <c r="C72" s="168">
        <f>IF(D11="","-",+C71+1)</f>
        <v>2074</v>
      </c>
      <c r="D72" s="462">
        <f>IF(F71+SUM(E$17:E71)=D$10,F71,D$10-SUM(E$17:E71))</f>
        <v>0</v>
      </c>
      <c r="E72" s="170">
        <f t="shared" si="4"/>
        <v>0</v>
      </c>
      <c r="F72" s="169">
        <f t="shared" si="5"/>
        <v>0</v>
      </c>
      <c r="G72" s="377">
        <f t="shared" si="6"/>
        <v>0</v>
      </c>
      <c r="H72" s="130">
        <f t="shared" si="7"/>
        <v>0</v>
      </c>
      <c r="I72" s="172">
        <f t="shared" si="0"/>
        <v>0</v>
      </c>
      <c r="J72" s="160"/>
      <c r="K72" s="336"/>
      <c r="L72" s="173">
        <f t="shared" si="8"/>
        <v>0</v>
      </c>
      <c r="M72" s="336"/>
      <c r="N72" s="173">
        <f t="shared" si="9"/>
        <v>0</v>
      </c>
      <c r="O72" s="173">
        <f t="shared" si="10"/>
        <v>0</v>
      </c>
      <c r="P72" s="4"/>
    </row>
    <row r="73" spans="2:16">
      <c r="C73" s="158" t="s">
        <v>72</v>
      </c>
      <c r="D73" s="115"/>
      <c r="E73" s="115">
        <f>SUM(E17:E72)</f>
        <v>7155999.9999999991</v>
      </c>
      <c r="F73" s="115"/>
      <c r="G73" s="115">
        <f>SUM(G17:G72)</f>
        <v>23667007.312739566</v>
      </c>
      <c r="H73" s="115">
        <f>SUM(H17:H72)</f>
        <v>23667007.312739566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26 of 28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2018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0</v>
      </c>
      <c r="N87" s="202">
        <f>IF(J92&lt;D11,0,VLOOKUP(J92,C17:O72,11))</f>
        <v>0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0</v>
      </c>
      <c r="N88" s="204">
        <f>IF(J92&lt;D11,0,VLOOKUP(J92,C99:P154,7))</f>
        <v>0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Tulsa Southeast - E. 61st St 138 kV Rebuild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0</v>
      </c>
      <c r="N89" s="207">
        <f>+N88-N87</f>
        <v>0</v>
      </c>
      <c r="O89" s="208">
        <f>+O88-O87</f>
        <v>0</v>
      </c>
      <c r="P89" s="1"/>
    </row>
    <row r="90" spans="1:16" ht="13.5" thickBot="1">
      <c r="C90" s="174"/>
      <c r="D90" s="177">
        <f>D8</f>
        <v>0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>
        <f>+D9</f>
        <v>0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222">
        <f>IF(D11=I10,0,D10)</f>
        <v>7156000</v>
      </c>
      <c r="E92" s="22" t="s">
        <v>89</v>
      </c>
      <c r="H92" s="139"/>
      <c r="I92" s="139"/>
      <c r="J92" s="140">
        <f>+'PSO.WS.G.BPU.ATRR.True-up'!M16</f>
        <v>2018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2019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12</v>
      </c>
      <c r="E94" s="141" t="s">
        <v>51</v>
      </c>
      <c r="F94" s="139"/>
      <c r="G94" s="139"/>
      <c r="J94" s="145">
        <f>'PSO.WS.G.BPU.ATRR.True-up'!$F$81</f>
        <v>0.10273556682691798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43</v>
      </c>
      <c r="E95" s="141" t="s">
        <v>54</v>
      </c>
      <c r="F95" s="139"/>
      <c r="G95" s="139"/>
      <c r="J95" s="145">
        <f>IF(H87="",J94,'PSO.WS.G.BPU.ATRR.True-up'!$F$80)</f>
        <v>0.10273556682691798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166419</v>
      </c>
      <c r="K96" s="115"/>
      <c r="L96" s="115"/>
      <c r="M96" s="115"/>
      <c r="N96" s="115"/>
      <c r="O96" s="115"/>
      <c r="P96" s="4"/>
    </row>
    <row r="97" spans="1:16" ht="51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277</v>
      </c>
      <c r="I97" s="339" t="s">
        <v>278</v>
      </c>
      <c r="J97" s="214" t="s">
        <v>93</v>
      </c>
      <c r="K97" s="216"/>
      <c r="L97" s="151" t="s">
        <v>97</v>
      </c>
      <c r="M97" s="151" t="s">
        <v>94</v>
      </c>
      <c r="N97" s="151" t="s">
        <v>97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2019</v>
      </c>
      <c r="D99" s="158">
        <v>0</v>
      </c>
      <c r="E99" s="165">
        <f>IF(OR(D11=I10,D92&lt;100000),0,J$96/12*(12-D94))</f>
        <v>0</v>
      </c>
      <c r="F99" s="163">
        <f>IF(D93=C99,+D92-E99,+D99-E99)</f>
        <v>7156000</v>
      </c>
      <c r="G99" s="218">
        <f>+(F99+D99)/2</f>
        <v>3578000</v>
      </c>
      <c r="H99" s="218">
        <f t="shared" ref="H99:H154" si="12">+J$94*G99+E99</f>
        <v>367587.85810671252</v>
      </c>
      <c r="I99" s="218">
        <f>+J$95*G99+E99</f>
        <v>367587.85810671252</v>
      </c>
      <c r="J99" s="162">
        <f t="shared" ref="J99:J130" si="13">+I99-H99</f>
        <v>0</v>
      </c>
      <c r="K99" s="162"/>
      <c r="L99" s="334"/>
      <c r="M99" s="161">
        <f t="shared" ref="M99:M130" si="14">IF(L99&lt;&gt;0,+H99-L99,0)</f>
        <v>0</v>
      </c>
      <c r="N99" s="334"/>
      <c r="O99" s="161">
        <f t="shared" ref="O99:O130" si="15">IF(N99&lt;&gt;0,+I99-N99,0)</f>
        <v>0</v>
      </c>
      <c r="P99" s="161">
        <f t="shared" ref="P99:P130" si="16">+O99-M99</f>
        <v>0</v>
      </c>
    </row>
    <row r="100" spans="1:16">
      <c r="B100" s="9" t="str">
        <f>IF(D100=F99,"","IU")</f>
        <v/>
      </c>
      <c r="C100" s="157">
        <f>IF(D93="","-",+C99+1)</f>
        <v>2020</v>
      </c>
      <c r="D100" s="158">
        <f>IF(F99+SUM(E$99:E99)=D$92,F99,D$92-SUM(E$99:E99))</f>
        <v>7156000</v>
      </c>
      <c r="E100" s="164">
        <f>IF(+J$96&lt;F99,J$96,D100)</f>
        <v>166419</v>
      </c>
      <c r="F100" s="163">
        <f>+D100-E100</f>
        <v>6989581</v>
      </c>
      <c r="G100" s="163">
        <f>+(F100+D100)/2</f>
        <v>7072790.5</v>
      </c>
      <c r="H100" s="333">
        <f t="shared" si="12"/>
        <v>893046.14106554061</v>
      </c>
      <c r="I100" s="344">
        <f t="shared" ref="I100:I154" si="17">+J$95*G100+E100</f>
        <v>893046.14106554061</v>
      </c>
      <c r="J100" s="162">
        <f t="shared" si="13"/>
        <v>0</v>
      </c>
      <c r="K100" s="162"/>
      <c r="L100" s="335"/>
      <c r="M100" s="162">
        <f t="shared" si="14"/>
        <v>0</v>
      </c>
      <c r="N100" s="335"/>
      <c r="O100" s="162">
        <f t="shared" si="15"/>
        <v>0</v>
      </c>
      <c r="P100" s="162">
        <f t="shared" si="16"/>
        <v>0</v>
      </c>
    </row>
    <row r="101" spans="1:16">
      <c r="B101" s="9" t="str">
        <f t="shared" ref="B101:B154" si="18">IF(D101=F100,"","IU")</f>
        <v/>
      </c>
      <c r="C101" s="157">
        <f>IF(D93="","-",+C100+1)</f>
        <v>2021</v>
      </c>
      <c r="D101" s="158">
        <f>IF(F100+SUM(E$99:E100)=D$92,F100,D$92-SUM(E$99:E100))</f>
        <v>6989581</v>
      </c>
      <c r="E101" s="164">
        <f t="shared" ref="E101:E154" si="19">IF(+J$96&lt;F100,J$96,D101)</f>
        <v>166419</v>
      </c>
      <c r="F101" s="163">
        <f t="shared" ref="F101:F154" si="20">+D101-E101</f>
        <v>6823162</v>
      </c>
      <c r="G101" s="163">
        <f t="shared" ref="G101:G154" si="21">+(F101+D101)/2</f>
        <v>6906371.5</v>
      </c>
      <c r="H101" s="333">
        <f t="shared" si="12"/>
        <v>875948.99076977174</v>
      </c>
      <c r="I101" s="344">
        <f t="shared" si="17"/>
        <v>875948.99076977174</v>
      </c>
      <c r="J101" s="162">
        <f t="shared" si="13"/>
        <v>0</v>
      </c>
      <c r="K101" s="162"/>
      <c r="L101" s="335"/>
      <c r="M101" s="162">
        <f t="shared" si="14"/>
        <v>0</v>
      </c>
      <c r="N101" s="335"/>
      <c r="O101" s="162">
        <f t="shared" si="15"/>
        <v>0</v>
      </c>
      <c r="P101" s="162">
        <f t="shared" si="16"/>
        <v>0</v>
      </c>
    </row>
    <row r="102" spans="1:16">
      <c r="B102" s="9" t="str">
        <f t="shared" si="18"/>
        <v/>
      </c>
      <c r="C102" s="157">
        <f>IF(D93="","-",+C101+1)</f>
        <v>2022</v>
      </c>
      <c r="D102" s="158">
        <f>IF(F101+SUM(E$99:E101)=D$92,F101,D$92-SUM(E$99:E101))</f>
        <v>6823162</v>
      </c>
      <c r="E102" s="164">
        <f t="shared" si="19"/>
        <v>166419</v>
      </c>
      <c r="F102" s="163">
        <f t="shared" si="20"/>
        <v>6656743</v>
      </c>
      <c r="G102" s="163">
        <f t="shared" si="21"/>
        <v>6739952.5</v>
      </c>
      <c r="H102" s="333">
        <f t="shared" si="12"/>
        <v>858851.84047400288</v>
      </c>
      <c r="I102" s="344">
        <f t="shared" si="17"/>
        <v>858851.84047400288</v>
      </c>
      <c r="J102" s="162">
        <f t="shared" si="13"/>
        <v>0</v>
      </c>
      <c r="K102" s="162"/>
      <c r="L102" s="335"/>
      <c r="M102" s="162">
        <f t="shared" si="14"/>
        <v>0</v>
      </c>
      <c r="N102" s="335"/>
      <c r="O102" s="162">
        <f t="shared" si="15"/>
        <v>0</v>
      </c>
      <c r="P102" s="162">
        <f t="shared" si="16"/>
        <v>0</v>
      </c>
    </row>
    <row r="103" spans="1:16">
      <c r="B103" s="9" t="str">
        <f t="shared" si="18"/>
        <v/>
      </c>
      <c r="C103" s="157">
        <f>IF(D93="","-",+C102+1)</f>
        <v>2023</v>
      </c>
      <c r="D103" s="158">
        <f>IF(F102+SUM(E$99:E102)=D$92,F102,D$92-SUM(E$99:E102))</f>
        <v>6656743</v>
      </c>
      <c r="E103" s="164">
        <f t="shared" si="19"/>
        <v>166419</v>
      </c>
      <c r="F103" s="163">
        <f t="shared" si="20"/>
        <v>6490324</v>
      </c>
      <c r="G103" s="163">
        <f t="shared" si="21"/>
        <v>6573533.5</v>
      </c>
      <c r="H103" s="333">
        <f t="shared" si="12"/>
        <v>841754.69017823401</v>
      </c>
      <c r="I103" s="344">
        <f t="shared" si="17"/>
        <v>841754.69017823401</v>
      </c>
      <c r="J103" s="162">
        <f t="shared" si="13"/>
        <v>0</v>
      </c>
      <c r="K103" s="162"/>
      <c r="L103" s="335"/>
      <c r="M103" s="162">
        <f t="shared" si="14"/>
        <v>0</v>
      </c>
      <c r="N103" s="335"/>
      <c r="O103" s="162">
        <f t="shared" si="15"/>
        <v>0</v>
      </c>
      <c r="P103" s="162">
        <f t="shared" si="16"/>
        <v>0</v>
      </c>
    </row>
    <row r="104" spans="1:16">
      <c r="B104" s="9" t="str">
        <f t="shared" si="18"/>
        <v/>
      </c>
      <c r="C104" s="157">
        <f>IF(D93="","-",+C103+1)</f>
        <v>2024</v>
      </c>
      <c r="D104" s="158">
        <f>IF(F103+SUM(E$99:E103)=D$92,F103,D$92-SUM(E$99:E103))</f>
        <v>6490324</v>
      </c>
      <c r="E104" s="164">
        <f t="shared" si="19"/>
        <v>166419</v>
      </c>
      <c r="F104" s="163">
        <f t="shared" si="20"/>
        <v>6323905</v>
      </c>
      <c r="G104" s="163">
        <f t="shared" si="21"/>
        <v>6407114.5</v>
      </c>
      <c r="H104" s="333">
        <f t="shared" si="12"/>
        <v>824657.53988246515</v>
      </c>
      <c r="I104" s="344">
        <f t="shared" si="17"/>
        <v>824657.53988246515</v>
      </c>
      <c r="J104" s="162">
        <f t="shared" si="13"/>
        <v>0</v>
      </c>
      <c r="K104" s="162"/>
      <c r="L104" s="335"/>
      <c r="M104" s="162">
        <f t="shared" si="14"/>
        <v>0</v>
      </c>
      <c r="N104" s="335"/>
      <c r="O104" s="162">
        <f t="shared" si="15"/>
        <v>0</v>
      </c>
      <c r="P104" s="162">
        <f t="shared" si="16"/>
        <v>0</v>
      </c>
    </row>
    <row r="105" spans="1:16">
      <c r="B105" s="9" t="str">
        <f t="shared" si="18"/>
        <v/>
      </c>
      <c r="C105" s="157">
        <f>IF(D93="","-",+C104+1)</f>
        <v>2025</v>
      </c>
      <c r="D105" s="158">
        <f>IF(F104+SUM(E$99:E104)=D$92,F104,D$92-SUM(E$99:E104))</f>
        <v>6323905</v>
      </c>
      <c r="E105" s="164">
        <f t="shared" si="19"/>
        <v>166419</v>
      </c>
      <c r="F105" s="163">
        <f t="shared" si="20"/>
        <v>6157486</v>
      </c>
      <c r="G105" s="163">
        <f t="shared" si="21"/>
        <v>6240695.5</v>
      </c>
      <c r="H105" s="333">
        <f t="shared" si="12"/>
        <v>807560.38958669628</v>
      </c>
      <c r="I105" s="344">
        <f t="shared" si="17"/>
        <v>807560.38958669628</v>
      </c>
      <c r="J105" s="162">
        <f t="shared" si="13"/>
        <v>0</v>
      </c>
      <c r="K105" s="162"/>
      <c r="L105" s="335"/>
      <c r="M105" s="162">
        <f t="shared" si="14"/>
        <v>0</v>
      </c>
      <c r="N105" s="335"/>
      <c r="O105" s="162">
        <f t="shared" si="15"/>
        <v>0</v>
      </c>
      <c r="P105" s="162">
        <f t="shared" si="16"/>
        <v>0</v>
      </c>
    </row>
    <row r="106" spans="1:16">
      <c r="B106" s="9" t="str">
        <f t="shared" si="18"/>
        <v/>
      </c>
      <c r="C106" s="157">
        <f>IF(D93="","-",+C105+1)</f>
        <v>2026</v>
      </c>
      <c r="D106" s="158">
        <f>IF(F105+SUM(E$99:E105)=D$92,F105,D$92-SUM(E$99:E105))</f>
        <v>6157486</v>
      </c>
      <c r="E106" s="164">
        <f t="shared" si="19"/>
        <v>166419</v>
      </c>
      <c r="F106" s="163">
        <f t="shared" si="20"/>
        <v>5991067</v>
      </c>
      <c r="G106" s="163">
        <f t="shared" si="21"/>
        <v>6074276.5</v>
      </c>
      <c r="H106" s="333">
        <f t="shared" si="12"/>
        <v>790463.23929092742</v>
      </c>
      <c r="I106" s="344">
        <f t="shared" si="17"/>
        <v>790463.23929092742</v>
      </c>
      <c r="J106" s="162">
        <f t="shared" si="13"/>
        <v>0</v>
      </c>
      <c r="K106" s="162"/>
      <c r="L106" s="335"/>
      <c r="M106" s="162">
        <f t="shared" si="14"/>
        <v>0</v>
      </c>
      <c r="N106" s="335"/>
      <c r="O106" s="162">
        <f t="shared" si="15"/>
        <v>0</v>
      </c>
      <c r="P106" s="162">
        <f t="shared" si="16"/>
        <v>0</v>
      </c>
    </row>
    <row r="107" spans="1:16">
      <c r="B107" s="9" t="str">
        <f t="shared" si="18"/>
        <v/>
      </c>
      <c r="C107" s="157">
        <f>IF(D93="","-",+C106+1)</f>
        <v>2027</v>
      </c>
      <c r="D107" s="158">
        <f>IF(F106+SUM(E$99:E106)=D$92,F106,D$92-SUM(E$99:E106))</f>
        <v>5991067</v>
      </c>
      <c r="E107" s="164">
        <f t="shared" si="19"/>
        <v>166419</v>
      </c>
      <c r="F107" s="163">
        <f t="shared" si="20"/>
        <v>5824648</v>
      </c>
      <c r="G107" s="163">
        <f t="shared" si="21"/>
        <v>5907857.5</v>
      </c>
      <c r="H107" s="333">
        <f t="shared" si="12"/>
        <v>773366.08899515856</v>
      </c>
      <c r="I107" s="344">
        <f t="shared" si="17"/>
        <v>773366.08899515856</v>
      </c>
      <c r="J107" s="162">
        <f t="shared" si="13"/>
        <v>0</v>
      </c>
      <c r="K107" s="162"/>
      <c r="L107" s="335"/>
      <c r="M107" s="162">
        <f t="shared" si="14"/>
        <v>0</v>
      </c>
      <c r="N107" s="335"/>
      <c r="O107" s="162">
        <f t="shared" si="15"/>
        <v>0</v>
      </c>
      <c r="P107" s="162">
        <f t="shared" si="16"/>
        <v>0</v>
      </c>
    </row>
    <row r="108" spans="1:16">
      <c r="B108" s="9" t="str">
        <f t="shared" si="18"/>
        <v/>
      </c>
      <c r="C108" s="157">
        <f>IF(D93="","-",+C107+1)</f>
        <v>2028</v>
      </c>
      <c r="D108" s="158">
        <f>IF(F107+SUM(E$99:E107)=D$92,F107,D$92-SUM(E$99:E107))</f>
        <v>5824648</v>
      </c>
      <c r="E108" s="164">
        <f t="shared" si="19"/>
        <v>166419</v>
      </c>
      <c r="F108" s="163">
        <f t="shared" si="20"/>
        <v>5658229</v>
      </c>
      <c r="G108" s="163">
        <f t="shared" si="21"/>
        <v>5741438.5</v>
      </c>
      <c r="H108" s="333">
        <f t="shared" si="12"/>
        <v>756268.93869938969</v>
      </c>
      <c r="I108" s="344">
        <f t="shared" si="17"/>
        <v>756268.93869938969</v>
      </c>
      <c r="J108" s="162">
        <f t="shared" si="13"/>
        <v>0</v>
      </c>
      <c r="K108" s="162"/>
      <c r="L108" s="335"/>
      <c r="M108" s="162">
        <f t="shared" si="14"/>
        <v>0</v>
      </c>
      <c r="N108" s="335"/>
      <c r="O108" s="162">
        <f t="shared" si="15"/>
        <v>0</v>
      </c>
      <c r="P108" s="162">
        <f t="shared" si="16"/>
        <v>0</v>
      </c>
    </row>
    <row r="109" spans="1:16">
      <c r="B109" s="9" t="str">
        <f t="shared" si="18"/>
        <v/>
      </c>
      <c r="C109" s="157">
        <f>IF(D93="","-",+C108+1)</f>
        <v>2029</v>
      </c>
      <c r="D109" s="158">
        <f>IF(F108+SUM(E$99:E108)=D$92,F108,D$92-SUM(E$99:E108))</f>
        <v>5658229</v>
      </c>
      <c r="E109" s="164">
        <f t="shared" si="19"/>
        <v>166419</v>
      </c>
      <c r="F109" s="163">
        <f t="shared" si="20"/>
        <v>5491810</v>
      </c>
      <c r="G109" s="163">
        <f t="shared" si="21"/>
        <v>5575019.5</v>
      </c>
      <c r="H109" s="333">
        <f t="shared" si="12"/>
        <v>739171.78840362083</v>
      </c>
      <c r="I109" s="344">
        <f t="shared" si="17"/>
        <v>739171.78840362083</v>
      </c>
      <c r="J109" s="162">
        <f t="shared" si="13"/>
        <v>0</v>
      </c>
      <c r="K109" s="162"/>
      <c r="L109" s="335"/>
      <c r="M109" s="162">
        <f t="shared" si="14"/>
        <v>0</v>
      </c>
      <c r="N109" s="335"/>
      <c r="O109" s="162">
        <f t="shared" si="15"/>
        <v>0</v>
      </c>
      <c r="P109" s="162">
        <f t="shared" si="16"/>
        <v>0</v>
      </c>
    </row>
    <row r="110" spans="1:16">
      <c r="B110" s="9" t="str">
        <f t="shared" si="18"/>
        <v/>
      </c>
      <c r="C110" s="157">
        <f>IF(D93="","-",+C109+1)</f>
        <v>2030</v>
      </c>
      <c r="D110" s="158">
        <f>IF(F109+SUM(E$99:E109)=D$92,F109,D$92-SUM(E$99:E109))</f>
        <v>5491810</v>
      </c>
      <c r="E110" s="164">
        <f t="shared" si="19"/>
        <v>166419</v>
      </c>
      <c r="F110" s="163">
        <f t="shared" si="20"/>
        <v>5325391</v>
      </c>
      <c r="G110" s="163">
        <f t="shared" si="21"/>
        <v>5408600.5</v>
      </c>
      <c r="H110" s="333">
        <f t="shared" si="12"/>
        <v>722074.63810785196</v>
      </c>
      <c r="I110" s="344">
        <f t="shared" si="17"/>
        <v>722074.63810785196</v>
      </c>
      <c r="J110" s="162">
        <f t="shared" si="13"/>
        <v>0</v>
      </c>
      <c r="K110" s="162"/>
      <c r="L110" s="335"/>
      <c r="M110" s="162">
        <f t="shared" si="14"/>
        <v>0</v>
      </c>
      <c r="N110" s="335"/>
      <c r="O110" s="162">
        <f t="shared" si="15"/>
        <v>0</v>
      </c>
      <c r="P110" s="162">
        <f t="shared" si="16"/>
        <v>0</v>
      </c>
    </row>
    <row r="111" spans="1:16">
      <c r="B111" s="9" t="str">
        <f t="shared" si="18"/>
        <v/>
      </c>
      <c r="C111" s="157">
        <f>IF(D93="","-",+C110+1)</f>
        <v>2031</v>
      </c>
      <c r="D111" s="158">
        <f>IF(F110+SUM(E$99:E110)=D$92,F110,D$92-SUM(E$99:E110))</f>
        <v>5325391</v>
      </c>
      <c r="E111" s="164">
        <f t="shared" si="19"/>
        <v>166419</v>
      </c>
      <c r="F111" s="163">
        <f t="shared" si="20"/>
        <v>5158972</v>
      </c>
      <c r="G111" s="163">
        <f t="shared" si="21"/>
        <v>5242181.5</v>
      </c>
      <c r="H111" s="333">
        <f t="shared" si="12"/>
        <v>704977.4878120831</v>
      </c>
      <c r="I111" s="344">
        <f t="shared" si="17"/>
        <v>704977.4878120831</v>
      </c>
      <c r="J111" s="162">
        <f t="shared" si="13"/>
        <v>0</v>
      </c>
      <c r="K111" s="162"/>
      <c r="L111" s="335"/>
      <c r="M111" s="162">
        <f t="shared" si="14"/>
        <v>0</v>
      </c>
      <c r="N111" s="335"/>
      <c r="O111" s="162">
        <f t="shared" si="15"/>
        <v>0</v>
      </c>
      <c r="P111" s="162">
        <f t="shared" si="16"/>
        <v>0</v>
      </c>
    </row>
    <row r="112" spans="1:16">
      <c r="B112" s="9" t="str">
        <f t="shared" si="18"/>
        <v/>
      </c>
      <c r="C112" s="157">
        <f>IF(D93="","-",+C111+1)</f>
        <v>2032</v>
      </c>
      <c r="D112" s="158">
        <f>IF(F111+SUM(E$99:E111)=D$92,F111,D$92-SUM(E$99:E111))</f>
        <v>5158972</v>
      </c>
      <c r="E112" s="164">
        <f t="shared" si="19"/>
        <v>166419</v>
      </c>
      <c r="F112" s="163">
        <f t="shared" si="20"/>
        <v>4992553</v>
      </c>
      <c r="G112" s="163">
        <f t="shared" si="21"/>
        <v>5075762.5</v>
      </c>
      <c r="H112" s="333">
        <f t="shared" si="12"/>
        <v>687880.33751631435</v>
      </c>
      <c r="I112" s="344">
        <f t="shared" si="17"/>
        <v>687880.33751631435</v>
      </c>
      <c r="J112" s="162">
        <f t="shared" si="13"/>
        <v>0</v>
      </c>
      <c r="K112" s="162"/>
      <c r="L112" s="335"/>
      <c r="M112" s="162">
        <f t="shared" si="14"/>
        <v>0</v>
      </c>
      <c r="N112" s="335"/>
      <c r="O112" s="162">
        <f t="shared" si="15"/>
        <v>0</v>
      </c>
      <c r="P112" s="162">
        <f t="shared" si="16"/>
        <v>0</v>
      </c>
    </row>
    <row r="113" spans="2:16">
      <c r="B113" s="9" t="str">
        <f t="shared" si="18"/>
        <v/>
      </c>
      <c r="C113" s="157">
        <f>IF(D93="","-",+C112+1)</f>
        <v>2033</v>
      </c>
      <c r="D113" s="158">
        <f>IF(F112+SUM(E$99:E112)=D$92,F112,D$92-SUM(E$99:E112))</f>
        <v>4992553</v>
      </c>
      <c r="E113" s="164">
        <f t="shared" si="19"/>
        <v>166419</v>
      </c>
      <c r="F113" s="163">
        <f t="shared" si="20"/>
        <v>4826134</v>
      </c>
      <c r="G113" s="163">
        <f t="shared" si="21"/>
        <v>4909343.5</v>
      </c>
      <c r="H113" s="333">
        <f t="shared" si="12"/>
        <v>670783.18722054549</v>
      </c>
      <c r="I113" s="344">
        <f t="shared" si="17"/>
        <v>670783.18722054549</v>
      </c>
      <c r="J113" s="162">
        <f t="shared" si="13"/>
        <v>0</v>
      </c>
      <c r="K113" s="162"/>
      <c r="L113" s="335"/>
      <c r="M113" s="162">
        <f t="shared" si="14"/>
        <v>0</v>
      </c>
      <c r="N113" s="335"/>
      <c r="O113" s="162">
        <f t="shared" si="15"/>
        <v>0</v>
      </c>
      <c r="P113" s="162">
        <f t="shared" si="16"/>
        <v>0</v>
      </c>
    </row>
    <row r="114" spans="2:16">
      <c r="B114" s="9" t="str">
        <f t="shared" si="18"/>
        <v/>
      </c>
      <c r="C114" s="157">
        <f>IF(D93="","-",+C113+1)</f>
        <v>2034</v>
      </c>
      <c r="D114" s="158">
        <f>IF(F113+SUM(E$99:E113)=D$92,F113,D$92-SUM(E$99:E113))</f>
        <v>4826134</v>
      </c>
      <c r="E114" s="164">
        <f t="shared" si="19"/>
        <v>166419</v>
      </c>
      <c r="F114" s="163">
        <f t="shared" si="20"/>
        <v>4659715</v>
      </c>
      <c r="G114" s="163">
        <f t="shared" si="21"/>
        <v>4742924.5</v>
      </c>
      <c r="H114" s="333">
        <f t="shared" si="12"/>
        <v>653686.03692477662</v>
      </c>
      <c r="I114" s="344">
        <f t="shared" si="17"/>
        <v>653686.03692477662</v>
      </c>
      <c r="J114" s="162">
        <f t="shared" si="13"/>
        <v>0</v>
      </c>
      <c r="K114" s="162"/>
      <c r="L114" s="335"/>
      <c r="M114" s="162">
        <f t="shared" si="14"/>
        <v>0</v>
      </c>
      <c r="N114" s="335"/>
      <c r="O114" s="162">
        <f t="shared" si="15"/>
        <v>0</v>
      </c>
      <c r="P114" s="162">
        <f t="shared" si="16"/>
        <v>0</v>
      </c>
    </row>
    <row r="115" spans="2:16">
      <c r="B115" s="9" t="str">
        <f t="shared" si="18"/>
        <v/>
      </c>
      <c r="C115" s="157">
        <f>IF(D93="","-",+C114+1)</f>
        <v>2035</v>
      </c>
      <c r="D115" s="158">
        <f>IF(F114+SUM(E$99:E114)=D$92,F114,D$92-SUM(E$99:E114))</f>
        <v>4659715</v>
      </c>
      <c r="E115" s="164">
        <f t="shared" si="19"/>
        <v>166419</v>
      </c>
      <c r="F115" s="163">
        <f t="shared" si="20"/>
        <v>4493296</v>
      </c>
      <c r="G115" s="163">
        <f t="shared" si="21"/>
        <v>4576505.5</v>
      </c>
      <c r="H115" s="333">
        <f t="shared" si="12"/>
        <v>636588.88662900776</v>
      </c>
      <c r="I115" s="344">
        <f t="shared" si="17"/>
        <v>636588.88662900776</v>
      </c>
      <c r="J115" s="162">
        <f t="shared" si="13"/>
        <v>0</v>
      </c>
      <c r="K115" s="162"/>
      <c r="L115" s="335"/>
      <c r="M115" s="162">
        <f t="shared" si="14"/>
        <v>0</v>
      </c>
      <c r="N115" s="335"/>
      <c r="O115" s="162">
        <f t="shared" si="15"/>
        <v>0</v>
      </c>
      <c r="P115" s="162">
        <f t="shared" si="16"/>
        <v>0</v>
      </c>
    </row>
    <row r="116" spans="2:16">
      <c r="B116" s="9" t="str">
        <f t="shared" si="18"/>
        <v/>
      </c>
      <c r="C116" s="157">
        <f>IF(D93="","-",+C115+1)</f>
        <v>2036</v>
      </c>
      <c r="D116" s="158">
        <f>IF(F115+SUM(E$99:E115)=D$92,F115,D$92-SUM(E$99:E115))</f>
        <v>4493296</v>
      </c>
      <c r="E116" s="164">
        <f t="shared" si="19"/>
        <v>166419</v>
      </c>
      <c r="F116" s="163">
        <f t="shared" si="20"/>
        <v>4326877</v>
      </c>
      <c r="G116" s="163">
        <f t="shared" si="21"/>
        <v>4410086.5</v>
      </c>
      <c r="H116" s="333">
        <f t="shared" si="12"/>
        <v>619491.73633323889</v>
      </c>
      <c r="I116" s="344">
        <f t="shared" si="17"/>
        <v>619491.73633323889</v>
      </c>
      <c r="J116" s="162">
        <f t="shared" si="13"/>
        <v>0</v>
      </c>
      <c r="K116" s="162"/>
      <c r="L116" s="335"/>
      <c r="M116" s="162">
        <f t="shared" si="14"/>
        <v>0</v>
      </c>
      <c r="N116" s="335"/>
      <c r="O116" s="162">
        <f t="shared" si="15"/>
        <v>0</v>
      </c>
      <c r="P116" s="162">
        <f t="shared" si="16"/>
        <v>0</v>
      </c>
    </row>
    <row r="117" spans="2:16">
      <c r="B117" s="9" t="str">
        <f t="shared" si="18"/>
        <v/>
      </c>
      <c r="C117" s="157">
        <f>IF(D93="","-",+C116+1)</f>
        <v>2037</v>
      </c>
      <c r="D117" s="158">
        <f>IF(F116+SUM(E$99:E116)=D$92,F116,D$92-SUM(E$99:E116))</f>
        <v>4326877</v>
      </c>
      <c r="E117" s="164">
        <f t="shared" si="19"/>
        <v>166419</v>
      </c>
      <c r="F117" s="163">
        <f t="shared" si="20"/>
        <v>4160458</v>
      </c>
      <c r="G117" s="163">
        <f t="shared" si="21"/>
        <v>4243667.5</v>
      </c>
      <c r="H117" s="333">
        <f t="shared" si="12"/>
        <v>602394.58603747003</v>
      </c>
      <c r="I117" s="344">
        <f t="shared" si="17"/>
        <v>602394.58603747003</v>
      </c>
      <c r="J117" s="162">
        <f t="shared" si="13"/>
        <v>0</v>
      </c>
      <c r="K117" s="162"/>
      <c r="L117" s="335"/>
      <c r="M117" s="162">
        <f t="shared" si="14"/>
        <v>0</v>
      </c>
      <c r="N117" s="335"/>
      <c r="O117" s="162">
        <f t="shared" si="15"/>
        <v>0</v>
      </c>
      <c r="P117" s="162">
        <f t="shared" si="16"/>
        <v>0</v>
      </c>
    </row>
    <row r="118" spans="2:16">
      <c r="B118" s="9" t="str">
        <f t="shared" si="18"/>
        <v/>
      </c>
      <c r="C118" s="157">
        <f>IF(D93="","-",+C117+1)</f>
        <v>2038</v>
      </c>
      <c r="D118" s="158">
        <f>IF(F117+SUM(E$99:E117)=D$92,F117,D$92-SUM(E$99:E117))</f>
        <v>4160458</v>
      </c>
      <c r="E118" s="164">
        <f t="shared" si="19"/>
        <v>166419</v>
      </c>
      <c r="F118" s="163">
        <f t="shared" si="20"/>
        <v>3994039</v>
      </c>
      <c r="G118" s="163">
        <f t="shared" si="21"/>
        <v>4077248.5</v>
      </c>
      <c r="H118" s="333">
        <f t="shared" si="12"/>
        <v>585297.43574170116</v>
      </c>
      <c r="I118" s="344">
        <f t="shared" si="17"/>
        <v>585297.43574170116</v>
      </c>
      <c r="J118" s="162">
        <f t="shared" si="13"/>
        <v>0</v>
      </c>
      <c r="K118" s="162"/>
      <c r="L118" s="335"/>
      <c r="M118" s="162">
        <f t="shared" si="14"/>
        <v>0</v>
      </c>
      <c r="N118" s="335"/>
      <c r="O118" s="162">
        <f t="shared" si="15"/>
        <v>0</v>
      </c>
      <c r="P118" s="162">
        <f t="shared" si="16"/>
        <v>0</v>
      </c>
    </row>
    <row r="119" spans="2:16">
      <c r="B119" s="9" t="str">
        <f t="shared" si="18"/>
        <v/>
      </c>
      <c r="C119" s="157">
        <f>IF(D93="","-",+C118+1)</f>
        <v>2039</v>
      </c>
      <c r="D119" s="158">
        <f>IF(F118+SUM(E$99:E118)=D$92,F118,D$92-SUM(E$99:E118))</f>
        <v>3994039</v>
      </c>
      <c r="E119" s="164">
        <f t="shared" si="19"/>
        <v>166419</v>
      </c>
      <c r="F119" s="163">
        <f t="shared" si="20"/>
        <v>3827620</v>
      </c>
      <c r="G119" s="163">
        <f t="shared" si="21"/>
        <v>3910829.5</v>
      </c>
      <c r="H119" s="333">
        <f t="shared" si="12"/>
        <v>568200.2854459323</v>
      </c>
      <c r="I119" s="344">
        <f t="shared" si="17"/>
        <v>568200.2854459323</v>
      </c>
      <c r="J119" s="162">
        <f t="shared" si="13"/>
        <v>0</v>
      </c>
      <c r="K119" s="162"/>
      <c r="L119" s="335"/>
      <c r="M119" s="162">
        <f t="shared" si="14"/>
        <v>0</v>
      </c>
      <c r="N119" s="335"/>
      <c r="O119" s="162">
        <f t="shared" si="15"/>
        <v>0</v>
      </c>
      <c r="P119" s="162">
        <f t="shared" si="16"/>
        <v>0</v>
      </c>
    </row>
    <row r="120" spans="2:16">
      <c r="B120" s="9" t="str">
        <f t="shared" si="18"/>
        <v/>
      </c>
      <c r="C120" s="157">
        <f>IF(D93="","-",+C119+1)</f>
        <v>2040</v>
      </c>
      <c r="D120" s="158">
        <f>IF(F119+SUM(E$99:E119)=D$92,F119,D$92-SUM(E$99:E119))</f>
        <v>3827620</v>
      </c>
      <c r="E120" s="164">
        <f t="shared" si="19"/>
        <v>166419</v>
      </c>
      <c r="F120" s="163">
        <f t="shared" si="20"/>
        <v>3661201</v>
      </c>
      <c r="G120" s="163">
        <f t="shared" si="21"/>
        <v>3744410.5</v>
      </c>
      <c r="H120" s="333">
        <f t="shared" si="12"/>
        <v>551103.13515016343</v>
      </c>
      <c r="I120" s="344">
        <f t="shared" si="17"/>
        <v>551103.13515016343</v>
      </c>
      <c r="J120" s="162">
        <f t="shared" si="13"/>
        <v>0</v>
      </c>
      <c r="K120" s="162"/>
      <c r="L120" s="335"/>
      <c r="M120" s="162">
        <f t="shared" si="14"/>
        <v>0</v>
      </c>
      <c r="N120" s="335"/>
      <c r="O120" s="162">
        <f t="shared" si="15"/>
        <v>0</v>
      </c>
      <c r="P120" s="162">
        <f t="shared" si="16"/>
        <v>0</v>
      </c>
    </row>
    <row r="121" spans="2:16">
      <c r="B121" s="9" t="str">
        <f t="shared" si="18"/>
        <v/>
      </c>
      <c r="C121" s="157">
        <f>IF(D93="","-",+C120+1)</f>
        <v>2041</v>
      </c>
      <c r="D121" s="158">
        <f>IF(F120+SUM(E$99:E120)=D$92,F120,D$92-SUM(E$99:E120))</f>
        <v>3661201</v>
      </c>
      <c r="E121" s="164">
        <f t="shared" si="19"/>
        <v>166419</v>
      </c>
      <c r="F121" s="163">
        <f t="shared" si="20"/>
        <v>3494782</v>
      </c>
      <c r="G121" s="163">
        <f t="shared" si="21"/>
        <v>3577991.5</v>
      </c>
      <c r="H121" s="333">
        <f t="shared" si="12"/>
        <v>534005.98485439457</v>
      </c>
      <c r="I121" s="344">
        <f t="shared" si="17"/>
        <v>534005.98485439457</v>
      </c>
      <c r="J121" s="162">
        <f t="shared" si="13"/>
        <v>0</v>
      </c>
      <c r="K121" s="162"/>
      <c r="L121" s="335"/>
      <c r="M121" s="162">
        <f t="shared" si="14"/>
        <v>0</v>
      </c>
      <c r="N121" s="335"/>
      <c r="O121" s="162">
        <f t="shared" si="15"/>
        <v>0</v>
      </c>
      <c r="P121" s="162">
        <f t="shared" si="16"/>
        <v>0</v>
      </c>
    </row>
    <row r="122" spans="2:16">
      <c r="B122" s="9" t="str">
        <f t="shared" si="18"/>
        <v/>
      </c>
      <c r="C122" s="157">
        <f>IF(D93="","-",+C121+1)</f>
        <v>2042</v>
      </c>
      <c r="D122" s="158">
        <f>IF(F121+SUM(E$99:E121)=D$92,F121,D$92-SUM(E$99:E121))</f>
        <v>3494782</v>
      </c>
      <c r="E122" s="164">
        <f t="shared" si="19"/>
        <v>166419</v>
      </c>
      <c r="F122" s="163">
        <f t="shared" si="20"/>
        <v>3328363</v>
      </c>
      <c r="G122" s="163">
        <f t="shared" si="21"/>
        <v>3411572.5</v>
      </c>
      <c r="H122" s="333">
        <f t="shared" si="12"/>
        <v>516908.83455862565</v>
      </c>
      <c r="I122" s="344">
        <f t="shared" si="17"/>
        <v>516908.83455862565</v>
      </c>
      <c r="J122" s="162">
        <f t="shared" si="13"/>
        <v>0</v>
      </c>
      <c r="K122" s="162"/>
      <c r="L122" s="335"/>
      <c r="M122" s="162">
        <f t="shared" si="14"/>
        <v>0</v>
      </c>
      <c r="N122" s="335"/>
      <c r="O122" s="162">
        <f t="shared" si="15"/>
        <v>0</v>
      </c>
      <c r="P122" s="162">
        <f t="shared" si="16"/>
        <v>0</v>
      </c>
    </row>
    <row r="123" spans="2:16">
      <c r="B123" s="9" t="str">
        <f t="shared" si="18"/>
        <v/>
      </c>
      <c r="C123" s="157">
        <f>IF(D93="","-",+C122+1)</f>
        <v>2043</v>
      </c>
      <c r="D123" s="158">
        <f>IF(F122+SUM(E$99:E122)=D$92,F122,D$92-SUM(E$99:E122))</f>
        <v>3328363</v>
      </c>
      <c r="E123" s="164">
        <f t="shared" si="19"/>
        <v>166419</v>
      </c>
      <c r="F123" s="163">
        <f t="shared" si="20"/>
        <v>3161944</v>
      </c>
      <c r="G123" s="163">
        <f t="shared" si="21"/>
        <v>3245153.5</v>
      </c>
      <c r="H123" s="333">
        <f t="shared" si="12"/>
        <v>499811.68426285678</v>
      </c>
      <c r="I123" s="344">
        <f t="shared" si="17"/>
        <v>499811.68426285678</v>
      </c>
      <c r="J123" s="162">
        <f t="shared" si="13"/>
        <v>0</v>
      </c>
      <c r="K123" s="162"/>
      <c r="L123" s="335"/>
      <c r="M123" s="162">
        <f t="shared" si="14"/>
        <v>0</v>
      </c>
      <c r="N123" s="335"/>
      <c r="O123" s="162">
        <f t="shared" si="15"/>
        <v>0</v>
      </c>
      <c r="P123" s="162">
        <f t="shared" si="16"/>
        <v>0</v>
      </c>
    </row>
    <row r="124" spans="2:16">
      <c r="B124" s="9" t="str">
        <f t="shared" si="18"/>
        <v/>
      </c>
      <c r="C124" s="157">
        <f>IF(D93="","-",+C123+1)</f>
        <v>2044</v>
      </c>
      <c r="D124" s="158">
        <f>IF(F123+SUM(E$99:E123)=D$92,F123,D$92-SUM(E$99:E123))</f>
        <v>3161944</v>
      </c>
      <c r="E124" s="164">
        <f t="shared" si="19"/>
        <v>166419</v>
      </c>
      <c r="F124" s="163">
        <f t="shared" si="20"/>
        <v>2995525</v>
      </c>
      <c r="G124" s="163">
        <f t="shared" si="21"/>
        <v>3078734.5</v>
      </c>
      <c r="H124" s="333">
        <f t="shared" si="12"/>
        <v>482714.53396708792</v>
      </c>
      <c r="I124" s="344">
        <f t="shared" si="17"/>
        <v>482714.53396708792</v>
      </c>
      <c r="J124" s="162">
        <f t="shared" si="13"/>
        <v>0</v>
      </c>
      <c r="K124" s="162"/>
      <c r="L124" s="335"/>
      <c r="M124" s="162">
        <f t="shared" si="14"/>
        <v>0</v>
      </c>
      <c r="N124" s="335"/>
      <c r="O124" s="162">
        <f t="shared" si="15"/>
        <v>0</v>
      </c>
      <c r="P124" s="162">
        <f t="shared" si="16"/>
        <v>0</v>
      </c>
    </row>
    <row r="125" spans="2:16">
      <c r="B125" s="9" t="str">
        <f t="shared" si="18"/>
        <v/>
      </c>
      <c r="C125" s="157">
        <f>IF(D93="","-",+C124+1)</f>
        <v>2045</v>
      </c>
      <c r="D125" s="158">
        <f>IF(F124+SUM(E$99:E124)=D$92,F124,D$92-SUM(E$99:E124))</f>
        <v>2995525</v>
      </c>
      <c r="E125" s="164">
        <f t="shared" si="19"/>
        <v>166419</v>
      </c>
      <c r="F125" s="163">
        <f t="shared" si="20"/>
        <v>2829106</v>
      </c>
      <c r="G125" s="163">
        <f t="shared" si="21"/>
        <v>2912315.5</v>
      </c>
      <c r="H125" s="333">
        <f t="shared" si="12"/>
        <v>465617.38367131905</v>
      </c>
      <c r="I125" s="344">
        <f t="shared" si="17"/>
        <v>465617.38367131905</v>
      </c>
      <c r="J125" s="162">
        <f t="shared" si="13"/>
        <v>0</v>
      </c>
      <c r="K125" s="162"/>
      <c r="L125" s="335"/>
      <c r="M125" s="162">
        <f t="shared" si="14"/>
        <v>0</v>
      </c>
      <c r="N125" s="335"/>
      <c r="O125" s="162">
        <f t="shared" si="15"/>
        <v>0</v>
      </c>
      <c r="P125" s="162">
        <f t="shared" si="16"/>
        <v>0</v>
      </c>
    </row>
    <row r="126" spans="2:16">
      <c r="B126" s="9" t="str">
        <f t="shared" si="18"/>
        <v/>
      </c>
      <c r="C126" s="157">
        <f>IF(D93="","-",+C125+1)</f>
        <v>2046</v>
      </c>
      <c r="D126" s="158">
        <f>IF(F125+SUM(E$99:E125)=D$92,F125,D$92-SUM(E$99:E125))</f>
        <v>2829106</v>
      </c>
      <c r="E126" s="164">
        <f t="shared" si="19"/>
        <v>166419</v>
      </c>
      <c r="F126" s="163">
        <f t="shared" si="20"/>
        <v>2662687</v>
      </c>
      <c r="G126" s="163">
        <f t="shared" si="21"/>
        <v>2745896.5</v>
      </c>
      <c r="H126" s="333">
        <f t="shared" si="12"/>
        <v>448520.23337555019</v>
      </c>
      <c r="I126" s="344">
        <f t="shared" si="17"/>
        <v>448520.23337555019</v>
      </c>
      <c r="J126" s="162">
        <f t="shared" si="13"/>
        <v>0</v>
      </c>
      <c r="K126" s="162"/>
      <c r="L126" s="335"/>
      <c r="M126" s="162">
        <f t="shared" si="14"/>
        <v>0</v>
      </c>
      <c r="N126" s="335"/>
      <c r="O126" s="162">
        <f t="shared" si="15"/>
        <v>0</v>
      </c>
      <c r="P126" s="162">
        <f t="shared" si="16"/>
        <v>0</v>
      </c>
    </row>
    <row r="127" spans="2:16">
      <c r="B127" s="9" t="str">
        <f t="shared" si="18"/>
        <v/>
      </c>
      <c r="C127" s="157">
        <f>IF(D93="","-",+C126+1)</f>
        <v>2047</v>
      </c>
      <c r="D127" s="158">
        <f>IF(F126+SUM(E$99:E126)=D$92,F126,D$92-SUM(E$99:E126))</f>
        <v>2662687</v>
      </c>
      <c r="E127" s="164">
        <f t="shared" si="19"/>
        <v>166419</v>
      </c>
      <c r="F127" s="163">
        <f t="shared" si="20"/>
        <v>2496268</v>
      </c>
      <c r="G127" s="163">
        <f t="shared" si="21"/>
        <v>2579477.5</v>
      </c>
      <c r="H127" s="333">
        <f t="shared" si="12"/>
        <v>431423.08307978133</v>
      </c>
      <c r="I127" s="344">
        <f t="shared" si="17"/>
        <v>431423.08307978133</v>
      </c>
      <c r="J127" s="162">
        <f t="shared" si="13"/>
        <v>0</v>
      </c>
      <c r="K127" s="162"/>
      <c r="L127" s="335"/>
      <c r="M127" s="162">
        <f t="shared" si="14"/>
        <v>0</v>
      </c>
      <c r="N127" s="335"/>
      <c r="O127" s="162">
        <f t="shared" si="15"/>
        <v>0</v>
      </c>
      <c r="P127" s="162">
        <f t="shared" si="16"/>
        <v>0</v>
      </c>
    </row>
    <row r="128" spans="2:16">
      <c r="B128" s="9" t="str">
        <f t="shared" si="18"/>
        <v/>
      </c>
      <c r="C128" s="157">
        <f>IF(D93="","-",+C127+1)</f>
        <v>2048</v>
      </c>
      <c r="D128" s="158">
        <f>IF(F127+SUM(E$99:E127)=D$92,F127,D$92-SUM(E$99:E127))</f>
        <v>2496268</v>
      </c>
      <c r="E128" s="164">
        <f t="shared" si="19"/>
        <v>166419</v>
      </c>
      <c r="F128" s="163">
        <f t="shared" si="20"/>
        <v>2329849</v>
      </c>
      <c r="G128" s="163">
        <f t="shared" si="21"/>
        <v>2413058.5</v>
      </c>
      <c r="H128" s="333">
        <f t="shared" si="12"/>
        <v>414325.93278401246</v>
      </c>
      <c r="I128" s="344">
        <f t="shared" si="17"/>
        <v>414325.93278401246</v>
      </c>
      <c r="J128" s="162">
        <f t="shared" si="13"/>
        <v>0</v>
      </c>
      <c r="K128" s="162"/>
      <c r="L128" s="335"/>
      <c r="M128" s="162">
        <f t="shared" si="14"/>
        <v>0</v>
      </c>
      <c r="N128" s="335"/>
      <c r="O128" s="162">
        <f t="shared" si="15"/>
        <v>0</v>
      </c>
      <c r="P128" s="162">
        <f t="shared" si="16"/>
        <v>0</v>
      </c>
    </row>
    <row r="129" spans="2:16">
      <c r="B129" s="9" t="str">
        <f t="shared" si="18"/>
        <v/>
      </c>
      <c r="C129" s="157">
        <f>IF(D93="","-",+C128+1)</f>
        <v>2049</v>
      </c>
      <c r="D129" s="158">
        <f>IF(F128+SUM(E$99:E128)=D$92,F128,D$92-SUM(E$99:E128))</f>
        <v>2329849</v>
      </c>
      <c r="E129" s="164">
        <f t="shared" si="19"/>
        <v>166419</v>
      </c>
      <c r="F129" s="163">
        <f t="shared" si="20"/>
        <v>2163430</v>
      </c>
      <c r="G129" s="163">
        <f t="shared" si="21"/>
        <v>2246639.5</v>
      </c>
      <c r="H129" s="333">
        <f t="shared" si="12"/>
        <v>397228.7824882436</v>
      </c>
      <c r="I129" s="344">
        <f t="shared" si="17"/>
        <v>397228.7824882436</v>
      </c>
      <c r="J129" s="162">
        <f t="shared" si="13"/>
        <v>0</v>
      </c>
      <c r="K129" s="162"/>
      <c r="L129" s="335"/>
      <c r="M129" s="162">
        <f t="shared" si="14"/>
        <v>0</v>
      </c>
      <c r="N129" s="335"/>
      <c r="O129" s="162">
        <f t="shared" si="15"/>
        <v>0</v>
      </c>
      <c r="P129" s="162">
        <f t="shared" si="16"/>
        <v>0</v>
      </c>
    </row>
    <row r="130" spans="2:16">
      <c r="B130" s="9" t="str">
        <f t="shared" si="18"/>
        <v/>
      </c>
      <c r="C130" s="157">
        <f>IF(D93="","-",+C129+1)</f>
        <v>2050</v>
      </c>
      <c r="D130" s="158">
        <f>IF(F129+SUM(E$99:E129)=D$92,F129,D$92-SUM(E$99:E129))</f>
        <v>2163430</v>
      </c>
      <c r="E130" s="164">
        <f t="shared" si="19"/>
        <v>166419</v>
      </c>
      <c r="F130" s="163">
        <f t="shared" si="20"/>
        <v>1997011</v>
      </c>
      <c r="G130" s="163">
        <f t="shared" si="21"/>
        <v>2080220.5</v>
      </c>
      <c r="H130" s="333">
        <f t="shared" si="12"/>
        <v>380131.63219247473</v>
      </c>
      <c r="I130" s="344">
        <f t="shared" si="17"/>
        <v>380131.63219247473</v>
      </c>
      <c r="J130" s="162">
        <f t="shared" si="13"/>
        <v>0</v>
      </c>
      <c r="K130" s="162"/>
      <c r="L130" s="335"/>
      <c r="M130" s="162">
        <f t="shared" si="14"/>
        <v>0</v>
      </c>
      <c r="N130" s="335"/>
      <c r="O130" s="162">
        <f t="shared" si="15"/>
        <v>0</v>
      </c>
      <c r="P130" s="162">
        <f t="shared" si="16"/>
        <v>0</v>
      </c>
    </row>
    <row r="131" spans="2:16">
      <c r="B131" s="9" t="str">
        <f t="shared" si="18"/>
        <v/>
      </c>
      <c r="C131" s="157">
        <f>IF(D93="","-",+C130+1)</f>
        <v>2051</v>
      </c>
      <c r="D131" s="158">
        <f>IF(F130+SUM(E$99:E130)=D$92,F130,D$92-SUM(E$99:E130))</f>
        <v>1997011</v>
      </c>
      <c r="E131" s="164">
        <f t="shared" si="19"/>
        <v>166419</v>
      </c>
      <c r="F131" s="163">
        <f t="shared" si="20"/>
        <v>1830592</v>
      </c>
      <c r="G131" s="163">
        <f t="shared" si="21"/>
        <v>1913801.5</v>
      </c>
      <c r="H131" s="333">
        <f t="shared" si="12"/>
        <v>363034.48189670587</v>
      </c>
      <c r="I131" s="344">
        <f t="shared" si="17"/>
        <v>363034.48189670587</v>
      </c>
      <c r="J131" s="162">
        <f t="shared" ref="J131:J154" si="22">+I541-H541</f>
        <v>0</v>
      </c>
      <c r="K131" s="162"/>
      <c r="L131" s="335"/>
      <c r="M131" s="162">
        <f t="shared" ref="M131:M154" si="23">IF(L541&lt;&gt;0,+H541-L541,0)</f>
        <v>0</v>
      </c>
      <c r="N131" s="335"/>
      <c r="O131" s="162">
        <f t="shared" ref="O131:O154" si="24">IF(N541&lt;&gt;0,+I541-N541,0)</f>
        <v>0</v>
      </c>
      <c r="P131" s="162">
        <f t="shared" ref="P131:P154" si="25">+O541-M541</f>
        <v>0</v>
      </c>
    </row>
    <row r="132" spans="2:16">
      <c r="B132" s="9" t="str">
        <f t="shared" si="18"/>
        <v/>
      </c>
      <c r="C132" s="157">
        <f>IF(D93="","-",+C131+1)</f>
        <v>2052</v>
      </c>
      <c r="D132" s="158">
        <f>IF(F131+SUM(E$99:E131)=D$92,F131,D$92-SUM(E$99:E131))</f>
        <v>1830592</v>
      </c>
      <c r="E132" s="164">
        <f t="shared" si="19"/>
        <v>166419</v>
      </c>
      <c r="F132" s="163">
        <f t="shared" si="20"/>
        <v>1664173</v>
      </c>
      <c r="G132" s="163">
        <f t="shared" si="21"/>
        <v>1747382.5</v>
      </c>
      <c r="H132" s="333">
        <f t="shared" si="12"/>
        <v>345937.331600937</v>
      </c>
      <c r="I132" s="344">
        <f t="shared" si="17"/>
        <v>345937.331600937</v>
      </c>
      <c r="J132" s="162">
        <f t="shared" si="22"/>
        <v>0</v>
      </c>
      <c r="K132" s="162"/>
      <c r="L132" s="335"/>
      <c r="M132" s="162">
        <f t="shared" si="23"/>
        <v>0</v>
      </c>
      <c r="N132" s="335"/>
      <c r="O132" s="162">
        <f t="shared" si="24"/>
        <v>0</v>
      </c>
      <c r="P132" s="162">
        <f t="shared" si="25"/>
        <v>0</v>
      </c>
    </row>
    <row r="133" spans="2:16">
      <c r="B133" s="9" t="str">
        <f t="shared" si="18"/>
        <v/>
      </c>
      <c r="C133" s="157">
        <f>IF(D93="","-",+C132+1)</f>
        <v>2053</v>
      </c>
      <c r="D133" s="158">
        <f>IF(F132+SUM(E$99:E132)=D$92,F132,D$92-SUM(E$99:E132))</f>
        <v>1664173</v>
      </c>
      <c r="E133" s="164">
        <f t="shared" si="19"/>
        <v>166419</v>
      </c>
      <c r="F133" s="163">
        <f t="shared" si="20"/>
        <v>1497754</v>
      </c>
      <c r="G133" s="163">
        <f t="shared" si="21"/>
        <v>1580963.5</v>
      </c>
      <c r="H133" s="333">
        <f t="shared" si="12"/>
        <v>328840.18130516814</v>
      </c>
      <c r="I133" s="344">
        <f t="shared" si="17"/>
        <v>328840.18130516814</v>
      </c>
      <c r="J133" s="162">
        <f t="shared" si="22"/>
        <v>0</v>
      </c>
      <c r="K133" s="162"/>
      <c r="L133" s="335"/>
      <c r="M133" s="162">
        <f t="shared" si="23"/>
        <v>0</v>
      </c>
      <c r="N133" s="335"/>
      <c r="O133" s="162">
        <f t="shared" si="24"/>
        <v>0</v>
      </c>
      <c r="P133" s="162">
        <f t="shared" si="25"/>
        <v>0</v>
      </c>
    </row>
    <row r="134" spans="2:16">
      <c r="B134" s="9" t="str">
        <f t="shared" si="18"/>
        <v/>
      </c>
      <c r="C134" s="157">
        <f>IF(D93="","-",+C133+1)</f>
        <v>2054</v>
      </c>
      <c r="D134" s="158">
        <f>IF(F133+SUM(E$99:E133)=D$92,F133,D$92-SUM(E$99:E133))</f>
        <v>1497754</v>
      </c>
      <c r="E134" s="164">
        <f t="shared" si="19"/>
        <v>166419</v>
      </c>
      <c r="F134" s="163">
        <f t="shared" si="20"/>
        <v>1331335</v>
      </c>
      <c r="G134" s="163">
        <f t="shared" si="21"/>
        <v>1414544.5</v>
      </c>
      <c r="H134" s="333">
        <f t="shared" si="12"/>
        <v>311743.03100939927</v>
      </c>
      <c r="I134" s="344">
        <f t="shared" si="17"/>
        <v>311743.03100939927</v>
      </c>
      <c r="J134" s="162">
        <f t="shared" si="22"/>
        <v>0</v>
      </c>
      <c r="K134" s="162"/>
      <c r="L134" s="335"/>
      <c r="M134" s="162">
        <f t="shared" si="23"/>
        <v>0</v>
      </c>
      <c r="N134" s="335"/>
      <c r="O134" s="162">
        <f t="shared" si="24"/>
        <v>0</v>
      </c>
      <c r="P134" s="162">
        <f t="shared" si="25"/>
        <v>0</v>
      </c>
    </row>
    <row r="135" spans="2:16">
      <c r="B135" s="9" t="str">
        <f t="shared" si="18"/>
        <v/>
      </c>
      <c r="C135" s="157">
        <f>IF(D93="","-",+C134+1)</f>
        <v>2055</v>
      </c>
      <c r="D135" s="158">
        <f>IF(F134+SUM(E$99:E134)=D$92,F134,D$92-SUM(E$99:E134))</f>
        <v>1331335</v>
      </c>
      <c r="E135" s="164">
        <f t="shared" si="19"/>
        <v>166419</v>
      </c>
      <c r="F135" s="163">
        <f t="shared" si="20"/>
        <v>1164916</v>
      </c>
      <c r="G135" s="163">
        <f t="shared" si="21"/>
        <v>1248125.5</v>
      </c>
      <c r="H135" s="333">
        <f t="shared" si="12"/>
        <v>294645.88071363041</v>
      </c>
      <c r="I135" s="344">
        <f t="shared" si="17"/>
        <v>294645.88071363041</v>
      </c>
      <c r="J135" s="162">
        <f t="shared" si="22"/>
        <v>0</v>
      </c>
      <c r="K135" s="162"/>
      <c r="L135" s="335"/>
      <c r="M135" s="162">
        <f t="shared" si="23"/>
        <v>0</v>
      </c>
      <c r="N135" s="335"/>
      <c r="O135" s="162">
        <f t="shared" si="24"/>
        <v>0</v>
      </c>
      <c r="P135" s="162">
        <f t="shared" si="25"/>
        <v>0</v>
      </c>
    </row>
    <row r="136" spans="2:16">
      <c r="B136" s="9" t="str">
        <f t="shared" si="18"/>
        <v/>
      </c>
      <c r="C136" s="157">
        <f>IF(D93="","-",+C135+1)</f>
        <v>2056</v>
      </c>
      <c r="D136" s="158">
        <f>IF(F135+SUM(E$99:E135)=D$92,F135,D$92-SUM(E$99:E135))</f>
        <v>1164916</v>
      </c>
      <c r="E136" s="164">
        <f t="shared" si="19"/>
        <v>166419</v>
      </c>
      <c r="F136" s="163">
        <f t="shared" si="20"/>
        <v>998497</v>
      </c>
      <c r="G136" s="163">
        <f t="shared" si="21"/>
        <v>1081706.5</v>
      </c>
      <c r="H136" s="333">
        <f t="shared" si="12"/>
        <v>277548.73041786154</v>
      </c>
      <c r="I136" s="344">
        <f t="shared" si="17"/>
        <v>277548.73041786154</v>
      </c>
      <c r="J136" s="162">
        <f t="shared" si="22"/>
        <v>0</v>
      </c>
      <c r="K136" s="162"/>
      <c r="L136" s="335"/>
      <c r="M136" s="162">
        <f t="shared" si="23"/>
        <v>0</v>
      </c>
      <c r="N136" s="335"/>
      <c r="O136" s="162">
        <f t="shared" si="24"/>
        <v>0</v>
      </c>
      <c r="P136" s="162">
        <f t="shared" si="25"/>
        <v>0</v>
      </c>
    </row>
    <row r="137" spans="2:16">
      <c r="B137" s="9" t="str">
        <f t="shared" si="18"/>
        <v/>
      </c>
      <c r="C137" s="157">
        <f>IF(D93="","-",+C136+1)</f>
        <v>2057</v>
      </c>
      <c r="D137" s="158">
        <f>IF(F136+SUM(E$99:E136)=D$92,F136,D$92-SUM(E$99:E136))</f>
        <v>998497</v>
      </c>
      <c r="E137" s="164">
        <f t="shared" si="19"/>
        <v>166419</v>
      </c>
      <c r="F137" s="163">
        <f t="shared" si="20"/>
        <v>832078</v>
      </c>
      <c r="G137" s="163">
        <f t="shared" si="21"/>
        <v>915287.5</v>
      </c>
      <c r="H137" s="333">
        <f t="shared" si="12"/>
        <v>260451.58012209268</v>
      </c>
      <c r="I137" s="344">
        <f t="shared" si="17"/>
        <v>260451.58012209268</v>
      </c>
      <c r="J137" s="162">
        <f t="shared" si="22"/>
        <v>0</v>
      </c>
      <c r="K137" s="162"/>
      <c r="L137" s="335"/>
      <c r="M137" s="162">
        <f t="shared" si="23"/>
        <v>0</v>
      </c>
      <c r="N137" s="335"/>
      <c r="O137" s="162">
        <f t="shared" si="24"/>
        <v>0</v>
      </c>
      <c r="P137" s="162">
        <f t="shared" si="25"/>
        <v>0</v>
      </c>
    </row>
    <row r="138" spans="2:16">
      <c r="B138" s="9" t="str">
        <f t="shared" si="18"/>
        <v/>
      </c>
      <c r="C138" s="157">
        <f>IF(D93="","-",+C137+1)</f>
        <v>2058</v>
      </c>
      <c r="D138" s="158">
        <f>IF(F137+SUM(E$99:E137)=D$92,F137,D$92-SUM(E$99:E137))</f>
        <v>832078</v>
      </c>
      <c r="E138" s="164">
        <f t="shared" si="19"/>
        <v>166419</v>
      </c>
      <c r="F138" s="163">
        <f t="shared" si="20"/>
        <v>665659</v>
      </c>
      <c r="G138" s="163">
        <f t="shared" si="21"/>
        <v>748868.5</v>
      </c>
      <c r="H138" s="333">
        <f t="shared" si="12"/>
        <v>243354.42982632382</v>
      </c>
      <c r="I138" s="344">
        <f t="shared" si="17"/>
        <v>243354.42982632382</v>
      </c>
      <c r="J138" s="162">
        <f t="shared" si="22"/>
        <v>0</v>
      </c>
      <c r="K138" s="162"/>
      <c r="L138" s="335"/>
      <c r="M138" s="162">
        <f t="shared" si="23"/>
        <v>0</v>
      </c>
      <c r="N138" s="335"/>
      <c r="O138" s="162">
        <f t="shared" si="24"/>
        <v>0</v>
      </c>
      <c r="P138" s="162">
        <f t="shared" si="25"/>
        <v>0</v>
      </c>
    </row>
    <row r="139" spans="2:16">
      <c r="B139" s="9" t="str">
        <f t="shared" si="18"/>
        <v/>
      </c>
      <c r="C139" s="157">
        <f>IF(D93="","-",+C138+1)</f>
        <v>2059</v>
      </c>
      <c r="D139" s="158">
        <f>IF(F138+SUM(E$99:E138)=D$92,F138,D$92-SUM(E$99:E138))</f>
        <v>665659</v>
      </c>
      <c r="E139" s="164">
        <f t="shared" si="19"/>
        <v>166419</v>
      </c>
      <c r="F139" s="163">
        <f t="shared" si="20"/>
        <v>499240</v>
      </c>
      <c r="G139" s="163">
        <f t="shared" si="21"/>
        <v>582449.5</v>
      </c>
      <c r="H139" s="333">
        <f t="shared" si="12"/>
        <v>226257.27953055495</v>
      </c>
      <c r="I139" s="344">
        <f t="shared" si="17"/>
        <v>226257.27953055495</v>
      </c>
      <c r="J139" s="162">
        <f t="shared" si="22"/>
        <v>0</v>
      </c>
      <c r="K139" s="162"/>
      <c r="L139" s="335"/>
      <c r="M139" s="162">
        <f t="shared" si="23"/>
        <v>0</v>
      </c>
      <c r="N139" s="335"/>
      <c r="O139" s="162">
        <f t="shared" si="24"/>
        <v>0</v>
      </c>
      <c r="P139" s="162">
        <f t="shared" si="25"/>
        <v>0</v>
      </c>
    </row>
    <row r="140" spans="2:16">
      <c r="B140" s="9" t="str">
        <f t="shared" si="18"/>
        <v/>
      </c>
      <c r="C140" s="157">
        <f>IF(D93="","-",+C139+1)</f>
        <v>2060</v>
      </c>
      <c r="D140" s="158">
        <f>IF(F139+SUM(E$99:E139)=D$92,F139,D$92-SUM(E$99:E139))</f>
        <v>499240</v>
      </c>
      <c r="E140" s="164">
        <f t="shared" si="19"/>
        <v>166419</v>
      </c>
      <c r="F140" s="163">
        <f t="shared" si="20"/>
        <v>332821</v>
      </c>
      <c r="G140" s="163">
        <f t="shared" si="21"/>
        <v>416030.5</v>
      </c>
      <c r="H140" s="333">
        <f t="shared" si="12"/>
        <v>209160.12923478609</v>
      </c>
      <c r="I140" s="344">
        <f t="shared" si="17"/>
        <v>209160.12923478609</v>
      </c>
      <c r="J140" s="162">
        <f t="shared" si="22"/>
        <v>0</v>
      </c>
      <c r="K140" s="162"/>
      <c r="L140" s="335"/>
      <c r="M140" s="162">
        <f t="shared" si="23"/>
        <v>0</v>
      </c>
      <c r="N140" s="335"/>
      <c r="O140" s="162">
        <f t="shared" si="24"/>
        <v>0</v>
      </c>
      <c r="P140" s="162">
        <f t="shared" si="25"/>
        <v>0</v>
      </c>
    </row>
    <row r="141" spans="2:16">
      <c r="B141" s="9" t="str">
        <f t="shared" si="18"/>
        <v/>
      </c>
      <c r="C141" s="157">
        <f>IF(D93="","-",+C140+1)</f>
        <v>2061</v>
      </c>
      <c r="D141" s="158">
        <f>IF(F140+SUM(E$99:E140)=D$92,F140,D$92-SUM(E$99:E140))</f>
        <v>332821</v>
      </c>
      <c r="E141" s="164">
        <f t="shared" si="19"/>
        <v>166419</v>
      </c>
      <c r="F141" s="163">
        <f t="shared" si="20"/>
        <v>166402</v>
      </c>
      <c r="G141" s="163">
        <f t="shared" si="21"/>
        <v>249611.5</v>
      </c>
      <c r="H141" s="333">
        <f t="shared" si="12"/>
        <v>192062.97893901722</v>
      </c>
      <c r="I141" s="344">
        <f t="shared" si="17"/>
        <v>192062.97893901722</v>
      </c>
      <c r="J141" s="162">
        <f t="shared" si="22"/>
        <v>0</v>
      </c>
      <c r="K141" s="162"/>
      <c r="L141" s="335"/>
      <c r="M141" s="162">
        <f t="shared" si="23"/>
        <v>0</v>
      </c>
      <c r="N141" s="335"/>
      <c r="O141" s="162">
        <f t="shared" si="24"/>
        <v>0</v>
      </c>
      <c r="P141" s="162">
        <f t="shared" si="25"/>
        <v>0</v>
      </c>
    </row>
    <row r="142" spans="2:16">
      <c r="B142" s="9" t="str">
        <f t="shared" si="18"/>
        <v/>
      </c>
      <c r="C142" s="157">
        <f>IF(D93="","-",+C141+1)</f>
        <v>2062</v>
      </c>
      <c r="D142" s="158">
        <f>IF(F141+SUM(E$99:E141)=D$92,F141,D$92-SUM(E$99:E141))</f>
        <v>166402</v>
      </c>
      <c r="E142" s="164">
        <f t="shared" si="19"/>
        <v>166402</v>
      </c>
      <c r="F142" s="163">
        <f t="shared" si="20"/>
        <v>0</v>
      </c>
      <c r="G142" s="163">
        <f t="shared" si="21"/>
        <v>83201</v>
      </c>
      <c r="H142" s="333">
        <f t="shared" si="12"/>
        <v>174949.7018955664</v>
      </c>
      <c r="I142" s="344">
        <f t="shared" si="17"/>
        <v>174949.7018955664</v>
      </c>
      <c r="J142" s="162">
        <f t="shared" si="22"/>
        <v>0</v>
      </c>
      <c r="K142" s="162"/>
      <c r="L142" s="335"/>
      <c r="M142" s="162">
        <f t="shared" si="23"/>
        <v>0</v>
      </c>
      <c r="N142" s="335"/>
      <c r="O142" s="162">
        <f t="shared" si="24"/>
        <v>0</v>
      </c>
      <c r="P142" s="162">
        <f t="shared" si="25"/>
        <v>0</v>
      </c>
    </row>
    <row r="143" spans="2:16">
      <c r="B143" s="9" t="str">
        <f t="shared" si="18"/>
        <v/>
      </c>
      <c r="C143" s="157">
        <f>IF(D93="","-",+C142+1)</f>
        <v>2063</v>
      </c>
      <c r="D143" s="158">
        <f>IF(F142+SUM(E$99:E142)=D$92,F142,D$92-SUM(E$99:E142))</f>
        <v>0</v>
      </c>
      <c r="E143" s="164">
        <f t="shared" si="19"/>
        <v>0</v>
      </c>
      <c r="F143" s="163">
        <f t="shared" si="20"/>
        <v>0</v>
      </c>
      <c r="G143" s="163">
        <f t="shared" si="21"/>
        <v>0</v>
      </c>
      <c r="H143" s="333">
        <f t="shared" si="12"/>
        <v>0</v>
      </c>
      <c r="I143" s="344">
        <f t="shared" si="17"/>
        <v>0</v>
      </c>
      <c r="J143" s="162">
        <f t="shared" si="22"/>
        <v>0</v>
      </c>
      <c r="K143" s="162"/>
      <c r="L143" s="335"/>
      <c r="M143" s="162">
        <f t="shared" si="23"/>
        <v>0</v>
      </c>
      <c r="N143" s="335"/>
      <c r="O143" s="162">
        <f t="shared" si="24"/>
        <v>0</v>
      </c>
      <c r="P143" s="162">
        <f t="shared" si="25"/>
        <v>0</v>
      </c>
    </row>
    <row r="144" spans="2:16">
      <c r="B144" s="9" t="str">
        <f t="shared" si="18"/>
        <v/>
      </c>
      <c r="C144" s="157">
        <f>IF(D93="","-",+C143+1)</f>
        <v>2064</v>
      </c>
      <c r="D144" s="158">
        <f>IF(F143+SUM(E$99:E143)=D$92,F143,D$92-SUM(E$99:E143))</f>
        <v>0</v>
      </c>
      <c r="E144" s="164">
        <f t="shared" si="19"/>
        <v>0</v>
      </c>
      <c r="F144" s="163">
        <f t="shared" si="20"/>
        <v>0</v>
      </c>
      <c r="G144" s="163">
        <f t="shared" si="21"/>
        <v>0</v>
      </c>
      <c r="H144" s="333">
        <f t="shared" si="12"/>
        <v>0</v>
      </c>
      <c r="I144" s="344">
        <f t="shared" si="17"/>
        <v>0</v>
      </c>
      <c r="J144" s="162">
        <f t="shared" si="22"/>
        <v>0</v>
      </c>
      <c r="K144" s="162"/>
      <c r="L144" s="335"/>
      <c r="M144" s="162">
        <f t="shared" si="23"/>
        <v>0</v>
      </c>
      <c r="N144" s="335"/>
      <c r="O144" s="162">
        <f t="shared" si="24"/>
        <v>0</v>
      </c>
      <c r="P144" s="162">
        <f t="shared" si="25"/>
        <v>0</v>
      </c>
    </row>
    <row r="145" spans="2:16">
      <c r="B145" s="9" t="str">
        <f t="shared" si="18"/>
        <v/>
      </c>
      <c r="C145" s="157">
        <f>IF(D93="","-",+C144+1)</f>
        <v>2065</v>
      </c>
      <c r="D145" s="158">
        <f>IF(F144+SUM(E$99:E144)=D$92,F144,D$92-SUM(E$99:E144))</f>
        <v>0</v>
      </c>
      <c r="E145" s="164">
        <f t="shared" si="19"/>
        <v>0</v>
      </c>
      <c r="F145" s="163">
        <f t="shared" si="20"/>
        <v>0</v>
      </c>
      <c r="G145" s="163">
        <f t="shared" si="21"/>
        <v>0</v>
      </c>
      <c r="H145" s="333">
        <f t="shared" si="12"/>
        <v>0</v>
      </c>
      <c r="I145" s="344">
        <f t="shared" si="17"/>
        <v>0</v>
      </c>
      <c r="J145" s="162">
        <f t="shared" si="22"/>
        <v>0</v>
      </c>
      <c r="K145" s="162"/>
      <c r="L145" s="335"/>
      <c r="M145" s="162">
        <f t="shared" si="23"/>
        <v>0</v>
      </c>
      <c r="N145" s="335"/>
      <c r="O145" s="162">
        <f t="shared" si="24"/>
        <v>0</v>
      </c>
      <c r="P145" s="162">
        <f t="shared" si="25"/>
        <v>0</v>
      </c>
    </row>
    <row r="146" spans="2:16">
      <c r="B146" s="9" t="str">
        <f t="shared" si="18"/>
        <v/>
      </c>
      <c r="C146" s="157">
        <f>IF(D93="","-",+C145+1)</f>
        <v>2066</v>
      </c>
      <c r="D146" s="158">
        <f>IF(F145+SUM(E$99:E145)=D$92,F145,D$92-SUM(E$99:E145))</f>
        <v>0</v>
      </c>
      <c r="E146" s="164">
        <f t="shared" si="19"/>
        <v>0</v>
      </c>
      <c r="F146" s="163">
        <f t="shared" si="20"/>
        <v>0</v>
      </c>
      <c r="G146" s="163">
        <f t="shared" si="21"/>
        <v>0</v>
      </c>
      <c r="H146" s="333">
        <f t="shared" si="12"/>
        <v>0</v>
      </c>
      <c r="I146" s="344">
        <f t="shared" si="17"/>
        <v>0</v>
      </c>
      <c r="J146" s="162">
        <f t="shared" si="22"/>
        <v>0</v>
      </c>
      <c r="K146" s="162"/>
      <c r="L146" s="335"/>
      <c r="M146" s="162">
        <f t="shared" si="23"/>
        <v>0</v>
      </c>
      <c r="N146" s="335"/>
      <c r="O146" s="162">
        <f t="shared" si="24"/>
        <v>0</v>
      </c>
      <c r="P146" s="162">
        <f t="shared" si="25"/>
        <v>0</v>
      </c>
    </row>
    <row r="147" spans="2:16">
      <c r="B147" s="9" t="str">
        <f t="shared" si="18"/>
        <v/>
      </c>
      <c r="C147" s="157">
        <f>IF(D93="","-",+C146+1)</f>
        <v>2067</v>
      </c>
      <c r="D147" s="158">
        <f>IF(F146+SUM(E$99:E146)=D$92,F146,D$92-SUM(E$99:E146))</f>
        <v>0</v>
      </c>
      <c r="E147" s="164">
        <f t="shared" si="19"/>
        <v>0</v>
      </c>
      <c r="F147" s="163">
        <f t="shared" si="20"/>
        <v>0</v>
      </c>
      <c r="G147" s="163">
        <f t="shared" si="21"/>
        <v>0</v>
      </c>
      <c r="H147" s="333">
        <f t="shared" si="12"/>
        <v>0</v>
      </c>
      <c r="I147" s="344">
        <f t="shared" si="17"/>
        <v>0</v>
      </c>
      <c r="J147" s="162">
        <f t="shared" si="22"/>
        <v>0</v>
      </c>
      <c r="K147" s="162"/>
      <c r="L147" s="335"/>
      <c r="M147" s="162">
        <f t="shared" si="23"/>
        <v>0</v>
      </c>
      <c r="N147" s="335"/>
      <c r="O147" s="162">
        <f t="shared" si="24"/>
        <v>0</v>
      </c>
      <c r="P147" s="162">
        <f t="shared" si="25"/>
        <v>0</v>
      </c>
    </row>
    <row r="148" spans="2:16">
      <c r="B148" s="9" t="str">
        <f t="shared" si="18"/>
        <v/>
      </c>
      <c r="C148" s="157">
        <f>IF(D93="","-",+C147+1)</f>
        <v>2068</v>
      </c>
      <c r="D148" s="158">
        <f>IF(F147+SUM(E$99:E147)=D$92,F147,D$92-SUM(E$99:E147))</f>
        <v>0</v>
      </c>
      <c r="E148" s="164">
        <f t="shared" si="19"/>
        <v>0</v>
      </c>
      <c r="F148" s="163">
        <f t="shared" si="20"/>
        <v>0</v>
      </c>
      <c r="G148" s="163">
        <f t="shared" si="21"/>
        <v>0</v>
      </c>
      <c r="H148" s="333">
        <f t="shared" si="12"/>
        <v>0</v>
      </c>
      <c r="I148" s="344">
        <f t="shared" si="17"/>
        <v>0</v>
      </c>
      <c r="J148" s="162">
        <f t="shared" si="22"/>
        <v>0</v>
      </c>
      <c r="K148" s="162"/>
      <c r="L148" s="335"/>
      <c r="M148" s="162">
        <f t="shared" si="23"/>
        <v>0</v>
      </c>
      <c r="N148" s="335"/>
      <c r="O148" s="162">
        <f t="shared" si="24"/>
        <v>0</v>
      </c>
      <c r="P148" s="162">
        <f t="shared" si="25"/>
        <v>0</v>
      </c>
    </row>
    <row r="149" spans="2:16">
      <c r="B149" s="9" t="str">
        <f t="shared" si="18"/>
        <v/>
      </c>
      <c r="C149" s="157">
        <f>IF(D93="","-",+C148+1)</f>
        <v>2069</v>
      </c>
      <c r="D149" s="158">
        <f>IF(F148+SUM(E$99:E148)=D$92,F148,D$92-SUM(E$99:E148))</f>
        <v>0</v>
      </c>
      <c r="E149" s="164">
        <f t="shared" si="19"/>
        <v>0</v>
      </c>
      <c r="F149" s="163">
        <f t="shared" si="20"/>
        <v>0</v>
      </c>
      <c r="G149" s="163">
        <f t="shared" si="21"/>
        <v>0</v>
      </c>
      <c r="H149" s="333">
        <f t="shared" si="12"/>
        <v>0</v>
      </c>
      <c r="I149" s="344">
        <f t="shared" si="17"/>
        <v>0</v>
      </c>
      <c r="J149" s="162">
        <f t="shared" si="22"/>
        <v>0</v>
      </c>
      <c r="K149" s="162"/>
      <c r="L149" s="335"/>
      <c r="M149" s="162">
        <f t="shared" si="23"/>
        <v>0</v>
      </c>
      <c r="N149" s="335"/>
      <c r="O149" s="162">
        <f t="shared" si="24"/>
        <v>0</v>
      </c>
      <c r="P149" s="162">
        <f t="shared" si="25"/>
        <v>0</v>
      </c>
    </row>
    <row r="150" spans="2:16">
      <c r="B150" s="9" t="str">
        <f t="shared" si="18"/>
        <v/>
      </c>
      <c r="C150" s="157">
        <f>IF(D93="","-",+C149+1)</f>
        <v>2070</v>
      </c>
      <c r="D150" s="158">
        <f>IF(F149+SUM(E$99:E149)=D$92,F149,D$92-SUM(E$99:E149))</f>
        <v>0</v>
      </c>
      <c r="E150" s="164">
        <f t="shared" si="19"/>
        <v>0</v>
      </c>
      <c r="F150" s="163">
        <f t="shared" si="20"/>
        <v>0</v>
      </c>
      <c r="G150" s="163">
        <f t="shared" si="21"/>
        <v>0</v>
      </c>
      <c r="H150" s="333">
        <f t="shared" si="12"/>
        <v>0</v>
      </c>
      <c r="I150" s="344">
        <f t="shared" si="17"/>
        <v>0</v>
      </c>
      <c r="J150" s="162">
        <f t="shared" si="22"/>
        <v>0</v>
      </c>
      <c r="K150" s="162"/>
      <c r="L150" s="335"/>
      <c r="M150" s="162">
        <f t="shared" si="23"/>
        <v>0</v>
      </c>
      <c r="N150" s="335"/>
      <c r="O150" s="162">
        <f t="shared" si="24"/>
        <v>0</v>
      </c>
      <c r="P150" s="162">
        <f t="shared" si="25"/>
        <v>0</v>
      </c>
    </row>
    <row r="151" spans="2:16">
      <c r="B151" s="9" t="str">
        <f t="shared" si="18"/>
        <v/>
      </c>
      <c r="C151" s="157">
        <f>IF(D93="","-",+C150+1)</f>
        <v>2071</v>
      </c>
      <c r="D151" s="158">
        <f>IF(F150+SUM(E$99:E150)=D$92,F150,D$92-SUM(E$99:E150))</f>
        <v>0</v>
      </c>
      <c r="E151" s="164">
        <f t="shared" si="19"/>
        <v>0</v>
      </c>
      <c r="F151" s="163">
        <f t="shared" si="20"/>
        <v>0</v>
      </c>
      <c r="G151" s="163">
        <f t="shared" si="21"/>
        <v>0</v>
      </c>
      <c r="H151" s="333">
        <f t="shared" si="12"/>
        <v>0</v>
      </c>
      <c r="I151" s="344">
        <f t="shared" si="17"/>
        <v>0</v>
      </c>
      <c r="J151" s="162">
        <f t="shared" si="22"/>
        <v>0</v>
      </c>
      <c r="K151" s="162"/>
      <c r="L151" s="335"/>
      <c r="M151" s="162">
        <f t="shared" si="23"/>
        <v>0</v>
      </c>
      <c r="N151" s="335"/>
      <c r="O151" s="162">
        <f t="shared" si="24"/>
        <v>0</v>
      </c>
      <c r="P151" s="162">
        <f t="shared" si="25"/>
        <v>0</v>
      </c>
    </row>
    <row r="152" spans="2:16">
      <c r="B152" s="9" t="str">
        <f t="shared" si="18"/>
        <v/>
      </c>
      <c r="C152" s="157">
        <f>IF(D93="","-",+C151+1)</f>
        <v>2072</v>
      </c>
      <c r="D152" s="158">
        <f>IF(F151+SUM(E$99:E151)=D$92,F151,D$92-SUM(E$99:E151))</f>
        <v>0</v>
      </c>
      <c r="E152" s="164">
        <f t="shared" si="19"/>
        <v>0</v>
      </c>
      <c r="F152" s="163">
        <f t="shared" si="20"/>
        <v>0</v>
      </c>
      <c r="G152" s="163">
        <f t="shared" si="21"/>
        <v>0</v>
      </c>
      <c r="H152" s="333">
        <f t="shared" si="12"/>
        <v>0</v>
      </c>
      <c r="I152" s="344">
        <f t="shared" si="17"/>
        <v>0</v>
      </c>
      <c r="J152" s="162">
        <f t="shared" si="22"/>
        <v>0</v>
      </c>
      <c r="K152" s="162"/>
      <c r="L152" s="335"/>
      <c r="M152" s="162">
        <f t="shared" si="23"/>
        <v>0</v>
      </c>
      <c r="N152" s="335"/>
      <c r="O152" s="162">
        <f t="shared" si="24"/>
        <v>0</v>
      </c>
      <c r="P152" s="162">
        <f t="shared" si="25"/>
        <v>0</v>
      </c>
    </row>
    <row r="153" spans="2:16">
      <c r="B153" s="9" t="str">
        <f t="shared" si="18"/>
        <v/>
      </c>
      <c r="C153" s="157">
        <f>IF(D93="","-",+C152+1)</f>
        <v>2073</v>
      </c>
      <c r="D153" s="158">
        <f>IF(F152+SUM(E$99:E152)=D$92,F152,D$92-SUM(E$99:E152))</f>
        <v>0</v>
      </c>
      <c r="E153" s="164">
        <f t="shared" si="19"/>
        <v>0</v>
      </c>
      <c r="F153" s="163">
        <f t="shared" si="20"/>
        <v>0</v>
      </c>
      <c r="G153" s="163">
        <f t="shared" si="21"/>
        <v>0</v>
      </c>
      <c r="H153" s="333">
        <f t="shared" si="12"/>
        <v>0</v>
      </c>
      <c r="I153" s="344">
        <f t="shared" si="17"/>
        <v>0</v>
      </c>
      <c r="J153" s="162">
        <f t="shared" si="22"/>
        <v>0</v>
      </c>
      <c r="K153" s="162"/>
      <c r="L153" s="335"/>
      <c r="M153" s="162">
        <f t="shared" si="23"/>
        <v>0</v>
      </c>
      <c r="N153" s="335"/>
      <c r="O153" s="162">
        <f t="shared" si="24"/>
        <v>0</v>
      </c>
      <c r="P153" s="162">
        <f t="shared" si="25"/>
        <v>0</v>
      </c>
    </row>
    <row r="154" spans="2:16" ht="13.5" thickBot="1">
      <c r="B154" s="9" t="str">
        <f t="shared" si="18"/>
        <v/>
      </c>
      <c r="C154" s="168">
        <f>IF(D93="","-",+C153+1)</f>
        <v>2074</v>
      </c>
      <c r="D154" s="170">
        <f>IF(F153+SUM(E$99:E153)=D$92,F153,D$92-SUM(E$99:E153))</f>
        <v>0</v>
      </c>
      <c r="E154" s="170">
        <f t="shared" si="19"/>
        <v>0</v>
      </c>
      <c r="F154" s="169">
        <f t="shared" si="20"/>
        <v>0</v>
      </c>
      <c r="G154" s="169">
        <f t="shared" si="21"/>
        <v>0</v>
      </c>
      <c r="H154" s="345">
        <f t="shared" si="12"/>
        <v>0</v>
      </c>
      <c r="I154" s="346">
        <f t="shared" si="17"/>
        <v>0</v>
      </c>
      <c r="J154" s="173">
        <f t="shared" si="22"/>
        <v>0</v>
      </c>
      <c r="K154" s="162"/>
      <c r="L154" s="336"/>
      <c r="M154" s="173">
        <f t="shared" si="23"/>
        <v>0</v>
      </c>
      <c r="N154" s="336"/>
      <c r="O154" s="173">
        <f t="shared" si="24"/>
        <v>0</v>
      </c>
      <c r="P154" s="173">
        <f t="shared" si="25"/>
        <v>0</v>
      </c>
    </row>
    <row r="155" spans="2:16">
      <c r="C155" s="158" t="s">
        <v>72</v>
      </c>
      <c r="D155" s="115"/>
      <c r="E155" s="115">
        <f>SUM(E99:E154)</f>
        <v>7156000</v>
      </c>
      <c r="F155" s="115"/>
      <c r="G155" s="115"/>
      <c r="H155" s="115">
        <f>SUM(H99:H154)</f>
        <v>23329829.080097985</v>
      </c>
      <c r="I155" s="115">
        <f>SUM(I99:I154)</f>
        <v>23329829.080097985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conditionalFormatting sqref="C17:C72">
    <cfRule type="cellIs" dxfId="7" priority="1" stopIfTrue="1" operator="equal">
      <formula>$I$10</formula>
    </cfRule>
  </conditionalFormatting>
  <conditionalFormatting sqref="C99:C154">
    <cfRule type="cellIs" dxfId="6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S137"/>
  <sheetViews>
    <sheetView topLeftCell="F99" zoomScaleNormal="100" zoomScaleSheetLayoutView="100" workbookViewId="0">
      <selection activeCell="R124" sqref="R124"/>
    </sheetView>
  </sheetViews>
  <sheetFormatPr defaultRowHeight="12.75" customHeight="1"/>
  <cols>
    <col min="1" max="1" width="4.7109375" customWidth="1"/>
    <col min="2" max="2" width="6.7109375" customWidth="1"/>
    <col min="3" max="3" width="20.7109375" customWidth="1"/>
    <col min="4" max="9" width="17.7109375" customWidth="1"/>
    <col min="10" max="10" width="17.7109375" bestFit="1" customWidth="1"/>
    <col min="11" max="11" width="2.140625" customWidth="1"/>
    <col min="12" max="15" width="17.7109375" customWidth="1"/>
    <col min="16" max="16" width="19.5703125" customWidth="1"/>
    <col min="17" max="17" width="2.140625" customWidth="1"/>
    <col min="18" max="18" width="16.42578125" customWidth="1"/>
    <col min="19" max="19" width="52.42578125" customWidth="1"/>
  </cols>
  <sheetData>
    <row r="1" spans="1:19" ht="18">
      <c r="A1" s="505" t="str">
        <f>PSO.WS.F.BPU.ATRR.Projected!A1</f>
        <v xml:space="preserve">AEP West SPP Member Companies 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Q1" s="7"/>
      <c r="R1" s="7"/>
    </row>
    <row r="2" spans="1:19" ht="18">
      <c r="A2" s="505" t="str">
        <f>PSO.WS.F.BPU.ATRR.Projected!A2</f>
        <v>2020 Cost of Service Formula Rate Projected on 2019 FF1 Balances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Q2" s="240" t="s">
        <v>120</v>
      </c>
      <c r="R2" s="7"/>
    </row>
    <row r="3" spans="1:19" ht="18">
      <c r="A3" s="508" t="s">
        <v>136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Q3" s="7"/>
      <c r="R3" s="7"/>
    </row>
    <row r="4" spans="1:19" ht="18">
      <c r="A4" s="507" t="str">
        <f>"Based on a Carrying Charge Derived from ""Trued-Up"" "&amp;M16&amp;" Data"</f>
        <v>Based on a Carrying Charge Derived from "Trued-Up" 2018 Data</v>
      </c>
      <c r="B4" s="507"/>
      <c r="C4" s="507"/>
      <c r="D4" s="507"/>
      <c r="E4" s="507"/>
      <c r="F4" s="507"/>
      <c r="G4" s="507"/>
      <c r="H4" s="507"/>
      <c r="I4" s="507"/>
      <c r="J4" s="507"/>
      <c r="K4" s="507"/>
      <c r="Q4" s="7"/>
      <c r="R4" s="7"/>
    </row>
    <row r="5" spans="1:19" ht="18">
      <c r="A5" s="513" t="str">
        <f>PSO.WS.F.BPU.ATRR.Projected!A5</f>
        <v>PUBLIC SERVICE COMPANY OF OKLAHOMA</v>
      </c>
      <c r="B5" s="514"/>
      <c r="C5" s="514"/>
      <c r="D5" s="514"/>
      <c r="E5" s="514"/>
      <c r="F5" s="514"/>
      <c r="G5" s="514"/>
      <c r="H5" s="514"/>
      <c r="I5" s="514"/>
      <c r="J5" s="514"/>
      <c r="K5" s="514"/>
      <c r="Q5" s="7"/>
      <c r="R5" s="7"/>
    </row>
    <row r="6" spans="1:19" ht="20.25">
      <c r="A6" s="179"/>
      <c r="C6" s="71"/>
      <c r="D6" s="9"/>
      <c r="I6" s="10"/>
      <c r="K6" s="7"/>
      <c r="Q6" s="7"/>
      <c r="R6" s="7"/>
    </row>
    <row r="7" spans="1:19">
      <c r="D7" s="9"/>
      <c r="I7" s="10"/>
      <c r="K7" s="7"/>
      <c r="Q7" s="7"/>
      <c r="R7" s="7"/>
    </row>
    <row r="8" spans="1:19" ht="38.25" customHeight="1">
      <c r="B8" s="461" t="s">
        <v>0</v>
      </c>
      <c r="C8" s="510" t="str">
        <f>"Calculate Return and Income Taxes with "&amp;F13&amp;" basis point ROE increase for Projects Qualified for Incentive."</f>
        <v>Calculate Return and Income Taxes with 0 basis point ROE increase for Projects Qualified for Incentive.</v>
      </c>
      <c r="D8" s="511"/>
      <c r="E8" s="511"/>
      <c r="F8" s="511"/>
      <c r="G8" s="511"/>
      <c r="H8" s="511"/>
      <c r="I8" s="511"/>
      <c r="K8" s="7"/>
      <c r="Q8" s="7"/>
      <c r="R8" s="7"/>
    </row>
    <row r="9" spans="1:19" ht="15.75" customHeight="1">
      <c r="C9" s="6"/>
      <c r="D9" s="6"/>
      <c r="E9" s="6"/>
      <c r="F9" s="6"/>
      <c r="G9" s="6"/>
      <c r="H9" s="6"/>
      <c r="I9" s="6"/>
      <c r="K9" s="7"/>
      <c r="Q9" s="7"/>
      <c r="R9" s="7"/>
    </row>
    <row r="10" spans="1:19" ht="15.75">
      <c r="C10" s="8" t="str">
        <f>"A.   Determine 'R' with hypothetical "&amp;F13&amp;" basis point increase in ROE for Identified Projects"</f>
        <v>A.   Determine 'R' with hypothetical 0 basis point increase in ROE for Identified Projects</v>
      </c>
      <c r="D10" s="9"/>
      <c r="I10" s="10"/>
      <c r="K10" s="7"/>
      <c r="Q10" s="7"/>
      <c r="R10" s="7"/>
    </row>
    <row r="11" spans="1:19">
      <c r="D11" s="9"/>
      <c r="I11" s="10"/>
      <c r="K11" s="7"/>
      <c r="Q11" s="7"/>
      <c r="R11" s="7"/>
    </row>
    <row r="12" spans="1:19">
      <c r="C12" s="11" t="str">
        <f>S105</f>
        <v xml:space="preserve">   ROE w/o incentives  (True-Up TCOS, ln 135)</v>
      </c>
      <c r="D12" s="9"/>
      <c r="E12" s="12"/>
      <c r="F12" s="13">
        <f>+R105</f>
        <v>0.105</v>
      </c>
      <c r="G12" s="13"/>
      <c r="H12" s="14"/>
      <c r="I12" s="15"/>
      <c r="J12" s="16"/>
      <c r="K12" s="17"/>
      <c r="L12" s="16"/>
      <c r="M12" s="16"/>
      <c r="N12" s="16"/>
      <c r="O12" s="16"/>
      <c r="P12" s="16"/>
      <c r="Q12" s="17"/>
      <c r="R12" s="4"/>
      <c r="S12" s="1"/>
    </row>
    <row r="13" spans="1:19" ht="13.5" thickBot="1">
      <c r="C13" s="11" t="s">
        <v>1</v>
      </c>
      <c r="D13" s="9"/>
      <c r="E13" s="12"/>
      <c r="F13" s="19">
        <f>R106</f>
        <v>0</v>
      </c>
      <c r="G13" s="180" t="s">
        <v>147</v>
      </c>
      <c r="L13" s="16"/>
      <c r="M13" s="16"/>
      <c r="N13" s="16"/>
      <c r="O13" s="16"/>
      <c r="P13" s="16"/>
      <c r="Q13" s="17"/>
      <c r="R13" s="4"/>
      <c r="S13" s="1"/>
    </row>
    <row r="14" spans="1:19">
      <c r="C14" s="11" t="str">
        <f>"   ROE with additional "&amp;F13&amp;" basis point incentive"</f>
        <v xml:space="preserve">   ROE with additional 0 basis point incentive</v>
      </c>
      <c r="D14" s="12"/>
      <c r="E14" s="12"/>
      <c r="F14" s="20">
        <f>IF((F12+(F13/10000)&gt;0.1245),"ERROR",F12+(F13/10000))</f>
        <v>0.105</v>
      </c>
      <c r="G14" s="21" t="s">
        <v>2</v>
      </c>
      <c r="I14" s="16"/>
      <c r="J14" s="16"/>
      <c r="K14" s="17"/>
      <c r="L14" s="181" t="s">
        <v>84</v>
      </c>
      <c r="M14" s="182"/>
      <c r="N14" s="182"/>
      <c r="O14" s="182"/>
      <c r="P14" s="183"/>
      <c r="Q14" s="17"/>
      <c r="R14" s="4"/>
      <c r="S14" s="1"/>
    </row>
    <row r="15" spans="1:19">
      <c r="C15" s="11" t="s">
        <v>225</v>
      </c>
      <c r="D15" s="9"/>
      <c r="E15" s="12"/>
      <c r="F15" s="20"/>
      <c r="G15" s="20"/>
      <c r="H15" s="12"/>
      <c r="I15" s="16"/>
      <c r="J15" s="16"/>
      <c r="K15" s="17"/>
      <c r="L15" s="31"/>
      <c r="M15" s="17"/>
      <c r="N15" s="17" t="s">
        <v>8</v>
      </c>
      <c r="O15" s="17" t="s">
        <v>9</v>
      </c>
      <c r="P15" s="33" t="s">
        <v>10</v>
      </c>
      <c r="Q15" s="17"/>
      <c r="R15" s="4"/>
      <c r="S15" s="1"/>
    </row>
    <row r="16" spans="1:19">
      <c r="C16" s="17"/>
      <c r="D16" s="23" t="s">
        <v>4</v>
      </c>
      <c r="E16" s="23" t="s">
        <v>5</v>
      </c>
      <c r="F16" s="24" t="s">
        <v>6</v>
      </c>
      <c r="G16" s="24"/>
      <c r="H16" s="12"/>
      <c r="I16" s="16"/>
      <c r="J16" s="16"/>
      <c r="K16" s="17"/>
      <c r="L16" s="31" t="s">
        <v>85</v>
      </c>
      <c r="M16" s="226">
        <v>2018</v>
      </c>
      <c r="N16" s="7"/>
      <c r="O16" s="7"/>
      <c r="P16" s="39"/>
      <c r="Q16" s="17"/>
      <c r="R16" s="4"/>
      <c r="S16" s="1"/>
    </row>
    <row r="17" spans="3:19">
      <c r="C17" s="25" t="s">
        <v>7</v>
      </c>
      <c r="D17" s="26">
        <f>R107</f>
        <v>0.51250191622016406</v>
      </c>
      <c r="E17" s="27">
        <f>R108</f>
        <v>4.6781018729819407E-2</v>
      </c>
      <c r="F17" s="184">
        <f>E17*D17</f>
        <v>2.3975361741763832E-2</v>
      </c>
      <c r="G17" s="184"/>
      <c r="H17" s="12"/>
      <c r="I17" s="16"/>
      <c r="J17" s="29"/>
      <c r="K17" s="30"/>
      <c r="L17" s="38"/>
      <c r="M17" s="351" t="s">
        <v>210</v>
      </c>
      <c r="N17" s="186">
        <f>SUM('P.001:P.xyz - blank'!M87)</f>
        <v>7463959.3932195175</v>
      </c>
      <c r="O17" s="186">
        <f>SUM('P.001:P.xyz - blank'!N87)</f>
        <v>7463959.3932195175</v>
      </c>
      <c r="P17" s="187">
        <f>+O17-N17</f>
        <v>0</v>
      </c>
      <c r="Q17" s="30"/>
      <c r="R17" s="4"/>
      <c r="S17" s="1"/>
    </row>
    <row r="18" spans="3:19" ht="13.5" thickBot="1">
      <c r="C18" s="25" t="s">
        <v>11</v>
      </c>
      <c r="D18" s="26">
        <f>R109</f>
        <v>0</v>
      </c>
      <c r="E18" s="27">
        <f>R110</f>
        <v>0</v>
      </c>
      <c r="F18" s="184">
        <f>E18*D18</f>
        <v>0</v>
      </c>
      <c r="G18" s="184"/>
      <c r="H18" s="35"/>
      <c r="I18" s="35"/>
      <c r="J18" s="36"/>
      <c r="K18" s="37"/>
      <c r="L18" s="38"/>
      <c r="M18" s="350" t="s">
        <v>209</v>
      </c>
      <c r="N18" s="188">
        <f>SUM('P.001:P.xyz - blank'!M88)</f>
        <v>5985111.4543428477</v>
      </c>
      <c r="O18" s="188">
        <f>SUM('P.001:P.xyz - blank'!N88)</f>
        <v>5985111.4543428477</v>
      </c>
      <c r="P18" s="45">
        <f>+O18-N18</f>
        <v>0</v>
      </c>
      <c r="Q18" s="37"/>
      <c r="R18" s="4"/>
      <c r="S18" s="1"/>
    </row>
    <row r="19" spans="3:19">
      <c r="C19" s="40" t="s">
        <v>12</v>
      </c>
      <c r="D19" s="26">
        <f>R111</f>
        <v>0.48749808377983594</v>
      </c>
      <c r="E19" s="27">
        <f>+F14</f>
        <v>0.105</v>
      </c>
      <c r="F19" s="189">
        <f>E19*D19</f>
        <v>5.1187298796882774E-2</v>
      </c>
      <c r="G19" s="189"/>
      <c r="H19" s="35"/>
      <c r="I19" s="35"/>
      <c r="J19" s="20"/>
      <c r="K19" s="37"/>
      <c r="L19" s="38"/>
      <c r="M19" s="185" t="str">
        <f>"True-up Adjustment For "&amp;M16&amp;""</f>
        <v>True-up Adjustment For 2018</v>
      </c>
      <c r="N19" s="190">
        <f>+N18-N17</f>
        <v>-1478847.9388766699</v>
      </c>
      <c r="O19" s="190">
        <f>+O18-O17</f>
        <v>-1478847.9388766699</v>
      </c>
      <c r="P19" s="191">
        <f>+P18-P17</f>
        <v>0</v>
      </c>
      <c r="Q19" s="37"/>
      <c r="R19" s="4"/>
      <c r="S19" s="1"/>
    </row>
    <row r="20" spans="3:19">
      <c r="C20" s="11"/>
      <c r="D20" s="12"/>
      <c r="E20" s="46" t="s">
        <v>14</v>
      </c>
      <c r="F20" s="184">
        <f>SUM(F17:F19)</f>
        <v>7.5162660538646606E-2</v>
      </c>
      <c r="G20" s="184"/>
      <c r="H20" s="192"/>
      <c r="I20" s="35"/>
      <c r="J20" s="36"/>
      <c r="K20" s="37"/>
      <c r="L20" s="38"/>
      <c r="M20" s="7"/>
      <c r="N20" s="230" t="str">
        <f>IF(ROUND(N19,0)=ROUND(SUM('P.001:P.xyz - blank'!M89),0),"","ERROR")</f>
        <v/>
      </c>
      <c r="O20" s="230" t="str">
        <f>IF(ROUND(O19,0)=ROUND(SUM('P.001:P.xyz - blank'!N89),0),"","ERROR")</f>
        <v/>
      </c>
      <c r="P20" s="230" t="str">
        <f>IF(P19=SUM('P.001:P.xyz - blank'!O89),"","ERROR")</f>
        <v/>
      </c>
      <c r="Q20" s="37"/>
      <c r="R20" s="4"/>
      <c r="S20" s="1"/>
    </row>
    <row r="21" spans="3:19" ht="13.5" thickBot="1">
      <c r="D21" s="47"/>
      <c r="E21" s="47"/>
      <c r="F21" s="35"/>
      <c r="G21" s="35"/>
      <c r="H21" s="35"/>
      <c r="I21" s="35"/>
      <c r="J21" s="35"/>
      <c r="K21" s="48"/>
      <c r="L21" s="193"/>
      <c r="M21" s="43"/>
      <c r="N21" s="194"/>
      <c r="O21" s="194"/>
      <c r="P21" s="45"/>
      <c r="Q21" s="48"/>
      <c r="R21" s="4"/>
      <c r="S21" s="1"/>
    </row>
    <row r="22" spans="3:19" ht="15.75">
      <c r="C22" s="8" t="str">
        <f>"B.   Determine Return using 'R' with hypothetical "&amp;F13&amp;" basis point ROE increase for Identified Projects."</f>
        <v>B.   Determine Return using 'R' with hypothetical 0 basis point ROE increase for Identified Projects.</v>
      </c>
      <c r="D22" s="47"/>
      <c r="E22" s="47"/>
      <c r="F22" s="50"/>
      <c r="G22" s="50"/>
      <c r="H22" s="35"/>
      <c r="I22" s="12"/>
      <c r="J22" s="35"/>
      <c r="K22" s="48"/>
      <c r="L22" s="35"/>
      <c r="M22" s="35"/>
      <c r="N22" s="35"/>
      <c r="O22" s="35"/>
      <c r="P22" s="35"/>
      <c r="Q22" s="48"/>
      <c r="R22" s="4"/>
      <c r="S22" s="1"/>
    </row>
    <row r="23" spans="3:19">
      <c r="C23" s="17"/>
      <c r="D23" s="47"/>
      <c r="E23" s="47"/>
      <c r="F23" s="48"/>
      <c r="G23" s="48"/>
      <c r="H23" s="48"/>
      <c r="I23" s="48"/>
      <c r="J23" s="48"/>
      <c r="K23" s="48"/>
      <c r="L23" s="49" t="s">
        <v>15</v>
      </c>
      <c r="M23" s="48"/>
      <c r="N23" s="48"/>
      <c r="O23" s="48"/>
      <c r="P23" s="48"/>
      <c r="Q23" s="48"/>
      <c r="R23" s="4"/>
      <c r="S23" s="1"/>
    </row>
    <row r="24" spans="3:19">
      <c r="C24" s="11" t="str">
        <f>S112</f>
        <v xml:space="preserve">   Rate Base  (True-Up TCOS, ln 63)</v>
      </c>
      <c r="D24" s="12"/>
      <c r="E24" s="52">
        <f>R112</f>
        <v>453618577.73124564</v>
      </c>
      <c r="F24" s="53"/>
      <c r="G24" s="53"/>
      <c r="H24" s="48"/>
      <c r="I24" s="48"/>
      <c r="J24" s="48"/>
      <c r="K24" s="48"/>
      <c r="L24" t="s">
        <v>16</v>
      </c>
      <c r="M24" s="48"/>
      <c r="N24" s="48"/>
      <c r="O24" s="48"/>
      <c r="P24" s="53"/>
      <c r="Q24" s="48"/>
      <c r="R24" s="4"/>
      <c r="S24" s="1"/>
    </row>
    <row r="25" spans="3:19">
      <c r="C25" s="17" t="s">
        <v>17</v>
      </c>
      <c r="D25" s="14"/>
      <c r="E25" s="54">
        <f>F20</f>
        <v>7.5162660538646606E-2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"/>
      <c r="S25" s="1"/>
    </row>
    <row r="26" spans="3:19">
      <c r="C26" s="55" t="s">
        <v>18</v>
      </c>
      <c r="D26" s="55"/>
      <c r="E26" s="36">
        <f>E24*E25</f>
        <v>34095179.172037296</v>
      </c>
      <c r="F26" s="48"/>
      <c r="G26" s="48"/>
      <c r="H26" s="48"/>
      <c r="I26" s="48"/>
      <c r="J26" s="37"/>
      <c r="K26" s="37"/>
      <c r="L26" s="37"/>
      <c r="M26" s="37"/>
      <c r="N26" s="37"/>
      <c r="O26" s="37"/>
      <c r="P26" s="48"/>
      <c r="Q26" s="37"/>
      <c r="R26" s="4"/>
      <c r="S26" s="1"/>
    </row>
    <row r="27" spans="3:19">
      <c r="C27" s="56"/>
      <c r="D27" s="16"/>
      <c r="E27" s="16"/>
      <c r="F27" s="48"/>
      <c r="G27" s="48"/>
      <c r="H27" s="48"/>
      <c r="I27" s="48"/>
      <c r="J27" s="37"/>
      <c r="K27" s="37"/>
      <c r="L27" s="37"/>
      <c r="M27" s="37"/>
      <c r="N27" s="37"/>
      <c r="O27" s="37"/>
      <c r="P27" s="48"/>
      <c r="Q27" s="37"/>
      <c r="R27" s="4"/>
      <c r="S27" s="1"/>
    </row>
    <row r="28" spans="3:19" ht="15.75">
      <c r="C28" s="8" t="str">
        <f>"C.   Determine Income Taxes using Return with hypothetical "&amp;F13&amp;" basis point ROE increase for Identified Projects."</f>
        <v>C.   Determine Income Taxes using Return with hypothetical 0 basis point ROE increase for Identified Projects.</v>
      </c>
      <c r="D28" s="57"/>
      <c r="E28" s="57"/>
      <c r="F28" s="58"/>
      <c r="G28" s="58"/>
      <c r="H28" s="58"/>
      <c r="I28" s="58"/>
      <c r="J28" s="59"/>
      <c r="K28" s="59"/>
      <c r="L28" s="59"/>
      <c r="M28" s="59"/>
      <c r="N28" s="59"/>
      <c r="O28" s="59"/>
      <c r="P28" s="58"/>
      <c r="Q28" s="59"/>
      <c r="R28" s="4"/>
      <c r="S28" s="1"/>
    </row>
    <row r="29" spans="3:19">
      <c r="C29" s="11"/>
      <c r="D29" s="16"/>
      <c r="E29" s="16"/>
      <c r="F29" s="48"/>
      <c r="G29" s="48"/>
      <c r="H29" s="48"/>
      <c r="I29" s="48"/>
      <c r="J29" s="37"/>
      <c r="K29" s="37"/>
      <c r="L29" s="37"/>
      <c r="M29" s="37"/>
      <c r="N29" s="37"/>
      <c r="O29" s="37"/>
      <c r="P29" s="48"/>
      <c r="Q29" s="37"/>
      <c r="R29" s="4"/>
      <c r="S29" s="1"/>
    </row>
    <row r="30" spans="3:19">
      <c r="C30" s="17" t="s">
        <v>19</v>
      </c>
      <c r="D30" s="46"/>
      <c r="E30" s="60">
        <f>E26</f>
        <v>34095179.172037296</v>
      </c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"/>
      <c r="S30" s="1"/>
    </row>
    <row r="31" spans="3:19">
      <c r="C31" s="11" t="str">
        <f>S113</f>
        <v xml:space="preserve">   Tax Rate  (True-Up TCOS, ln 105)</v>
      </c>
      <c r="D31" s="46"/>
      <c r="E31" s="61">
        <f>R113</f>
        <v>0.2533709999999999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"/>
      <c r="S31" s="1"/>
    </row>
    <row r="32" spans="3:19">
      <c r="C32" s="17" t="s">
        <v>20</v>
      </c>
      <c r="D32" s="2"/>
      <c r="E32" s="20">
        <f>IF(F17&gt;0,($E31/(1-$E31))*(1-$F17/$F20),0)</f>
        <v>0.23110647774032195</v>
      </c>
      <c r="F32" s="1"/>
      <c r="G32" s="1"/>
      <c r="H32" s="1"/>
      <c r="I32" s="3"/>
      <c r="J32" s="1"/>
      <c r="K32" s="4"/>
      <c r="L32" s="1"/>
      <c r="M32" s="1"/>
      <c r="N32" s="1"/>
      <c r="O32" s="1"/>
      <c r="P32" s="1"/>
      <c r="Q32" s="4"/>
      <c r="R32" s="4"/>
      <c r="S32" s="103"/>
    </row>
    <row r="33" spans="2:19">
      <c r="C33" s="56" t="s">
        <v>21</v>
      </c>
      <c r="D33" s="2"/>
      <c r="E33" s="63">
        <f>E30*E32</f>
        <v>7879616.7663747258</v>
      </c>
      <c r="F33" s="1"/>
      <c r="G33" s="1"/>
      <c r="H33" s="1"/>
      <c r="I33" s="3"/>
      <c r="J33" s="1"/>
      <c r="K33" s="4"/>
      <c r="L33" s="1"/>
      <c r="M33" s="1"/>
      <c r="N33" s="1"/>
      <c r="O33" s="1"/>
      <c r="P33" s="1"/>
      <c r="Q33" s="4"/>
      <c r="R33" s="4"/>
      <c r="S33" s="1"/>
    </row>
    <row r="34" spans="2:19" ht="15">
      <c r="C34" s="11" t="str">
        <f>S114</f>
        <v xml:space="preserve">   ITC Adjustment  (True-Up TCOS, ln 102)</v>
      </c>
      <c r="D34" s="65"/>
      <c r="E34" s="68">
        <f>R114</f>
        <v>-435087.55511327944</v>
      </c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7"/>
      <c r="Q34" s="65"/>
      <c r="R34" s="4"/>
      <c r="S34" s="1"/>
    </row>
    <row r="35" spans="2:19" ht="15">
      <c r="C35" s="11" t="str">
        <f>S115</f>
        <v xml:space="preserve">   Excess DFIT Adjustment  (TCOS, ln 109)</v>
      </c>
      <c r="D35" s="65"/>
      <c r="E35" s="68">
        <f>R115</f>
        <v>-4933248.5076256059</v>
      </c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7"/>
      <c r="Q35" s="65"/>
      <c r="R35" s="4"/>
      <c r="S35" s="1"/>
    </row>
    <row r="36" spans="2:19" ht="15">
      <c r="C36" s="11" t="str">
        <f>S116</f>
        <v xml:space="preserve">   Tax Effect of Permanent and Flow Through Differences (TCOS, ln 110)</v>
      </c>
      <c r="D36" s="65"/>
      <c r="E36" s="66">
        <f>R116</f>
        <v>78753.972856666413</v>
      </c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7"/>
      <c r="Q36" s="65"/>
      <c r="R36" s="4"/>
      <c r="S36" s="1"/>
    </row>
    <row r="37" spans="2:19" ht="15">
      <c r="C37" s="56" t="s">
        <v>22</v>
      </c>
      <c r="D37" s="65"/>
      <c r="E37" s="68">
        <f>E33+E34+E35+E36</f>
        <v>2590034.6764925071</v>
      </c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9"/>
      <c r="Q37" s="65"/>
      <c r="R37" s="4"/>
      <c r="S37" s="1"/>
    </row>
    <row r="38" spans="2:19" ht="12.75" customHeight="1">
      <c r="C38" s="70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9"/>
      <c r="Q38" s="65"/>
      <c r="R38" s="4"/>
      <c r="S38" s="1"/>
    </row>
    <row r="39" spans="2:19" ht="18.75">
      <c r="B39" s="5" t="s">
        <v>23</v>
      </c>
      <c r="C39" s="71" t="str">
        <f>"Calculate Net Plant Carrying Charge Rate (Fixed Charge Rate or FCR) with hypothetical "&amp;F13&amp;" basis point"</f>
        <v>Calculate Net Plant Carrying Charge Rate (Fixed Charge Rate or FCR) with hypothetical 0 basis point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9"/>
      <c r="Q39" s="65"/>
      <c r="R39" s="4"/>
      <c r="S39" s="1"/>
    </row>
    <row r="40" spans="2:19" ht="18.75" customHeight="1">
      <c r="B40" s="5"/>
      <c r="C40" s="71" t="str">
        <f>"ROE increase."</f>
        <v>ROE increase.</v>
      </c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9"/>
      <c r="Q40" s="65"/>
      <c r="R40" s="4"/>
      <c r="S40" s="1"/>
    </row>
    <row r="41" spans="2:19" ht="12.75" customHeight="1">
      <c r="C41" s="70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9"/>
      <c r="Q41" s="65"/>
      <c r="R41" s="4"/>
      <c r="S41" s="1"/>
    </row>
    <row r="42" spans="2:19" ht="15.75">
      <c r="C42" s="8" t="s">
        <v>24</v>
      </c>
      <c r="D42" s="65"/>
      <c r="E42" s="65"/>
      <c r="F42" s="72"/>
      <c r="G42" s="72"/>
      <c r="H42" s="65"/>
      <c r="I42" s="65"/>
      <c r="J42" s="65"/>
      <c r="K42" s="65"/>
      <c r="L42" s="65"/>
      <c r="M42" s="65"/>
      <c r="N42" s="65"/>
      <c r="O42" s="65"/>
      <c r="P42" s="69"/>
      <c r="Q42" s="65"/>
      <c r="R42" s="4"/>
      <c r="S42" s="1"/>
    </row>
    <row r="43" spans="2:19">
      <c r="B43" s="1"/>
      <c r="C43" s="73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68"/>
      <c r="Q43" s="74"/>
      <c r="R43" s="4"/>
      <c r="S43" s="1"/>
    </row>
    <row r="44" spans="2:19" ht="12.75" customHeight="1">
      <c r="B44" s="1"/>
      <c r="C44" s="11" t="str">
        <f>S117</f>
        <v xml:space="preserve">   Net Revenue Requirement  (True-Up TCOS, ln 109)</v>
      </c>
      <c r="D44" s="74"/>
      <c r="E44" s="74"/>
      <c r="F44" s="68">
        <f>R117</f>
        <v>82496506.965986535</v>
      </c>
      <c r="G44" s="68"/>
      <c r="H44" s="74"/>
      <c r="I44" s="74"/>
      <c r="J44" s="74"/>
      <c r="K44" s="74"/>
      <c r="L44" s="74"/>
      <c r="M44" s="74"/>
      <c r="N44" s="74"/>
      <c r="O44" s="74"/>
      <c r="P44" s="68"/>
      <c r="Q44" s="74"/>
      <c r="R44" s="4"/>
      <c r="S44" s="1"/>
    </row>
    <row r="45" spans="2:19">
      <c r="B45" s="1"/>
      <c r="C45" s="11" t="str">
        <f>S118</f>
        <v xml:space="preserve">   Return  (True-Up TCOS, ln 104)</v>
      </c>
      <c r="D45" s="74"/>
      <c r="E45" s="74"/>
      <c r="F45" s="68">
        <f>R118</f>
        <v>34095179.172037296</v>
      </c>
      <c r="G45" s="75"/>
      <c r="H45" s="76"/>
      <c r="I45" s="76"/>
      <c r="J45" s="76"/>
      <c r="K45" s="76"/>
      <c r="L45" s="76"/>
      <c r="M45" s="76"/>
      <c r="N45" s="76"/>
      <c r="O45" s="76"/>
      <c r="P45" s="68"/>
      <c r="Q45" s="76"/>
      <c r="R45" s="4"/>
      <c r="S45" s="1"/>
    </row>
    <row r="46" spans="2:19">
      <c r="B46" s="1"/>
      <c r="C46" s="11" t="str">
        <f>S119</f>
        <v xml:space="preserve">   Income Taxes  (True-Up TCOS, ln 103)</v>
      </c>
      <c r="D46" s="74"/>
      <c r="E46" s="74"/>
      <c r="F46" s="68">
        <f>R119</f>
        <v>2590034.6764925071</v>
      </c>
      <c r="G46" s="68"/>
      <c r="H46" s="74"/>
      <c r="I46" s="74"/>
      <c r="J46" s="77"/>
      <c r="K46" s="77"/>
      <c r="L46" s="77"/>
      <c r="M46" s="77"/>
      <c r="N46" s="77"/>
      <c r="O46" s="77"/>
      <c r="P46" s="74"/>
      <c r="Q46" s="77"/>
      <c r="R46" s="4"/>
      <c r="S46" s="1"/>
    </row>
    <row r="47" spans="2:19">
      <c r="B47" s="1"/>
      <c r="C47" s="11" t="str">
        <f>S120</f>
        <v xml:space="preserve">  Gross Margin Taxes  (True-Up TCOS, ln 108)</v>
      </c>
      <c r="D47" s="74"/>
      <c r="E47" s="74"/>
      <c r="F47" s="66">
        <f>R120</f>
        <v>0</v>
      </c>
      <c r="G47" s="68"/>
      <c r="H47" s="74"/>
      <c r="I47" s="74"/>
      <c r="J47" s="77"/>
      <c r="K47" s="77"/>
      <c r="L47" s="77"/>
      <c r="M47" s="77"/>
      <c r="N47" s="77"/>
      <c r="O47" s="77"/>
      <c r="P47" s="74"/>
      <c r="Q47" s="77"/>
      <c r="R47" s="4"/>
      <c r="S47" s="1"/>
    </row>
    <row r="48" spans="2:19">
      <c r="B48" s="1"/>
      <c r="C48" s="22" t="s">
        <v>25</v>
      </c>
      <c r="D48" s="74"/>
      <c r="E48" s="74"/>
      <c r="F48" s="75">
        <f>F44-F45-F46-F47</f>
        <v>45811293.117456734</v>
      </c>
      <c r="G48" s="75"/>
      <c r="H48" s="78"/>
      <c r="I48" s="74"/>
      <c r="J48" s="78"/>
      <c r="K48" s="78"/>
      <c r="L48" s="78"/>
      <c r="M48" s="78"/>
      <c r="N48" s="78"/>
      <c r="O48" s="78"/>
      <c r="P48" s="78"/>
      <c r="Q48" s="78"/>
      <c r="R48" s="4"/>
      <c r="S48" s="1"/>
    </row>
    <row r="49" spans="2:19">
      <c r="B49" s="1"/>
      <c r="C49" s="73"/>
      <c r="D49" s="74"/>
      <c r="E49" s="74"/>
      <c r="F49" s="68"/>
      <c r="G49" s="68"/>
      <c r="H49" s="79"/>
      <c r="I49" s="80"/>
      <c r="J49" s="80"/>
      <c r="K49" s="80"/>
      <c r="L49" s="80"/>
      <c r="M49" s="80"/>
      <c r="N49" s="80"/>
      <c r="O49" s="80"/>
      <c r="P49" s="80"/>
      <c r="Q49" s="80"/>
      <c r="R49" s="4"/>
      <c r="S49" s="1"/>
    </row>
    <row r="50" spans="2:19" ht="15.75">
      <c r="B50" s="1"/>
      <c r="C50" s="8" t="str">
        <f>"B.   Determine Net Revenue Requirement with hypothetical "&amp;F13&amp;" basis point increase in ROE."</f>
        <v>B.   Determine Net Revenue Requirement with hypothetical 0 basis point increase in ROE.</v>
      </c>
      <c r="D50" s="81"/>
      <c r="E50" s="81"/>
      <c r="F50" s="68"/>
      <c r="G50" s="68"/>
      <c r="H50" s="79"/>
      <c r="I50" s="80"/>
      <c r="J50" s="80"/>
      <c r="K50" s="80"/>
      <c r="L50" s="80"/>
      <c r="M50" s="80"/>
      <c r="N50" s="80"/>
      <c r="O50" s="80"/>
      <c r="P50" s="80"/>
      <c r="Q50" s="80"/>
      <c r="R50" s="4"/>
      <c r="S50" s="1"/>
    </row>
    <row r="51" spans="2:19">
      <c r="B51" s="1"/>
      <c r="C51" s="73"/>
      <c r="D51" s="81"/>
      <c r="E51" s="81"/>
      <c r="F51" s="68"/>
      <c r="G51" s="68"/>
      <c r="H51" s="79"/>
      <c r="I51" s="80"/>
      <c r="J51" s="80"/>
      <c r="K51" s="80"/>
      <c r="L51" s="80"/>
      <c r="M51" s="80"/>
      <c r="N51" s="80"/>
      <c r="O51" s="80"/>
      <c r="P51" s="80"/>
      <c r="Q51" s="80"/>
      <c r="R51" s="4"/>
      <c r="S51" s="1"/>
    </row>
    <row r="52" spans="2:19">
      <c r="B52" s="1"/>
      <c r="C52" s="73" t="str">
        <f>C48</f>
        <v xml:space="preserve">   Net Revenue Requirement, Less Return and Taxes</v>
      </c>
      <c r="D52" s="81"/>
      <c r="E52" s="81"/>
      <c r="F52" s="68">
        <f>F48</f>
        <v>45811293.117456734</v>
      </c>
      <c r="G52" s="68"/>
      <c r="H52" s="74"/>
      <c r="I52" s="74"/>
      <c r="J52" s="74"/>
      <c r="K52" s="74"/>
      <c r="L52" s="74"/>
      <c r="M52" s="74"/>
      <c r="N52" s="74"/>
      <c r="O52" s="74"/>
      <c r="P52" s="84"/>
      <c r="Q52" s="74"/>
      <c r="R52" s="4"/>
      <c r="S52" s="1"/>
    </row>
    <row r="53" spans="2:19">
      <c r="B53" s="1"/>
      <c r="C53" s="17" t="s">
        <v>98</v>
      </c>
      <c r="D53" s="86"/>
      <c r="E53" s="22"/>
      <c r="F53" s="87">
        <f>E26</f>
        <v>34095179.172037296</v>
      </c>
      <c r="G53" s="87"/>
      <c r="H53" s="22"/>
      <c r="I53" s="88"/>
      <c r="J53" s="22"/>
      <c r="K53" s="22"/>
      <c r="L53" s="22"/>
      <c r="M53" s="22"/>
      <c r="N53" s="22"/>
      <c r="O53" s="22"/>
      <c r="P53" s="22"/>
      <c r="Q53" s="22"/>
      <c r="R53" s="4"/>
      <c r="S53" s="1"/>
    </row>
    <row r="54" spans="2:19" ht="12.75" customHeight="1">
      <c r="B54" s="1"/>
      <c r="C54" s="11" t="s">
        <v>26</v>
      </c>
      <c r="D54" s="74"/>
      <c r="E54" s="74"/>
      <c r="F54" s="195">
        <f>E37</f>
        <v>2590034.6764925071</v>
      </c>
      <c r="G54" s="89"/>
      <c r="H54" s="1"/>
      <c r="I54" s="3"/>
      <c r="J54" s="1"/>
      <c r="K54" s="4"/>
      <c r="L54" s="1"/>
      <c r="M54" s="1"/>
      <c r="N54" s="1"/>
      <c r="O54" s="1"/>
      <c r="P54" s="1"/>
      <c r="Q54" s="4"/>
      <c r="R54" s="4"/>
      <c r="S54" s="1"/>
    </row>
    <row r="55" spans="2:19">
      <c r="B55" s="1"/>
      <c r="C55" s="22" t="str">
        <f>"   Net Revenue Requirement, with "&amp;F13&amp;" Basis Point ROE increase"</f>
        <v xml:space="preserve">   Net Revenue Requirement, with 0 Basis Point ROE increase</v>
      </c>
      <c r="D55" s="2"/>
      <c r="E55" s="1"/>
      <c r="F55" s="63">
        <f>SUM(F52:F54)</f>
        <v>82496506.96598655</v>
      </c>
      <c r="G55" s="63"/>
      <c r="H55" s="1"/>
      <c r="I55" s="3"/>
      <c r="J55" s="1"/>
      <c r="K55" s="4"/>
      <c r="L55" s="1"/>
      <c r="M55" s="1"/>
      <c r="N55" s="1"/>
      <c r="O55" s="1"/>
      <c r="P55" s="1"/>
      <c r="Q55" s="4"/>
      <c r="R55" s="4"/>
      <c r="S55" s="1"/>
    </row>
    <row r="56" spans="2:19">
      <c r="B56" s="1"/>
      <c r="C56" s="64" t="str">
        <f>"   Gross Margin Tax with "&amp;F13&amp;" Basis Point ROE Increase (II C. below)"</f>
        <v xml:space="preserve">   Gross Margin Tax with 0 Basis Point ROE Increase (II C. below)</v>
      </c>
      <c r="D56" s="90"/>
      <c r="E56" s="90"/>
      <c r="F56" s="91">
        <f>+F71</f>
        <v>0</v>
      </c>
      <c r="G56" s="87"/>
      <c r="H56" s="1"/>
      <c r="I56" s="3"/>
      <c r="J56" s="1"/>
      <c r="K56" s="4"/>
      <c r="L56" s="1"/>
      <c r="M56" s="1"/>
      <c r="N56" s="1"/>
      <c r="O56" s="1"/>
      <c r="P56" s="1"/>
      <c r="Q56" s="4"/>
      <c r="R56" s="4"/>
      <c r="S56" s="1"/>
    </row>
    <row r="57" spans="2:19">
      <c r="B57" s="1"/>
      <c r="C57" s="22" t="s">
        <v>27</v>
      </c>
      <c r="D57" s="2"/>
      <c r="E57" s="1"/>
      <c r="F57" s="92">
        <f>+F55+F56</f>
        <v>82496506.96598655</v>
      </c>
      <c r="G57" s="92"/>
      <c r="H57" s="1"/>
      <c r="I57" s="3"/>
      <c r="J57" s="1"/>
      <c r="K57" s="4"/>
      <c r="L57" s="1"/>
      <c r="M57" s="1"/>
      <c r="N57" s="1"/>
      <c r="O57" s="1"/>
      <c r="P57" s="1"/>
      <c r="Q57" s="4"/>
      <c r="R57" s="4"/>
      <c r="S57" s="1"/>
    </row>
    <row r="58" spans="2:19">
      <c r="B58" s="1"/>
      <c r="C58" s="11" t="str">
        <f>S121</f>
        <v xml:space="preserve">   Less: Depreciation  (True-Up TCOS, ln 82)</v>
      </c>
      <c r="D58" s="2"/>
      <c r="E58" s="1"/>
      <c r="F58" s="93">
        <f>R121</f>
        <v>18733043.911233526</v>
      </c>
      <c r="G58" s="93"/>
      <c r="H58" s="1"/>
      <c r="I58" s="3"/>
      <c r="J58" s="1"/>
      <c r="K58" s="4"/>
      <c r="L58" s="1"/>
      <c r="M58" s="1"/>
      <c r="N58" s="1"/>
      <c r="O58" s="1"/>
      <c r="P58" s="1"/>
      <c r="Q58" s="4"/>
      <c r="R58" s="4"/>
      <c r="S58" s="1"/>
    </row>
    <row r="59" spans="2:19">
      <c r="B59" s="1"/>
      <c r="C59" s="22" t="str">
        <f>"   Net Rev. Req, w/"&amp;F13&amp;" Basis Point ROE increase, less Depreciation"</f>
        <v xml:space="preserve">   Net Rev. Req, w/0 Basis Point ROE increase, less Depreciation</v>
      </c>
      <c r="D59" s="2"/>
      <c r="E59" s="1"/>
      <c r="F59" s="63">
        <f>F57-F58</f>
        <v>63763463.05475302</v>
      </c>
      <c r="G59" s="63"/>
      <c r="H59" s="1"/>
      <c r="I59" s="3"/>
      <c r="J59" s="1"/>
      <c r="K59" s="4"/>
      <c r="L59" s="1"/>
      <c r="M59" s="1"/>
      <c r="N59" s="1"/>
      <c r="O59" s="1"/>
      <c r="P59" s="1"/>
      <c r="Q59" s="4"/>
      <c r="R59" s="4"/>
      <c r="S59" s="1"/>
    </row>
    <row r="60" spans="2:19">
      <c r="B60" s="1"/>
      <c r="C60" s="1"/>
      <c r="D60" s="2"/>
      <c r="E60" s="1"/>
      <c r="F60" s="1"/>
      <c r="G60" s="1"/>
      <c r="H60" s="1"/>
      <c r="I60" s="3"/>
      <c r="J60" s="1"/>
      <c r="K60" s="4"/>
      <c r="L60" s="1"/>
      <c r="M60" s="1"/>
      <c r="N60" s="1"/>
      <c r="O60" s="1"/>
      <c r="P60" s="1"/>
      <c r="Q60" s="4"/>
      <c r="R60" s="4"/>
      <c r="S60" s="1"/>
    </row>
    <row r="61" spans="2:19" ht="15.75">
      <c r="B61" s="1"/>
      <c r="C61" s="94" t="str">
        <f>"C.   Determine Gross Margin Tax with hypothetical "&amp;F13&amp;" basis point increase in ROE."</f>
        <v>C.   Determine Gross Margin Tax with hypothetical 0 basis point increase in ROE.</v>
      </c>
      <c r="D61" s="95"/>
      <c r="E61" s="95"/>
      <c r="F61" s="96"/>
      <c r="G61" s="96"/>
      <c r="H61" s="18"/>
      <c r="I61" s="3"/>
      <c r="J61" s="1"/>
      <c r="K61" s="4"/>
      <c r="L61" s="1"/>
      <c r="M61" s="1"/>
      <c r="N61" s="1"/>
      <c r="O61" s="1"/>
      <c r="P61" s="1"/>
      <c r="Q61" s="4"/>
      <c r="R61" s="4"/>
      <c r="S61" s="1"/>
    </row>
    <row r="62" spans="2:19">
      <c r="B62" s="1"/>
      <c r="C62" s="64" t="str">
        <f>"   Net Revenue Requirement before Gross Margin Taxes, with "&amp;F13&amp;" "</f>
        <v xml:space="preserve">   Net Revenue Requirement before Gross Margin Taxes, with 0 </v>
      </c>
      <c r="D62" s="95"/>
      <c r="E62" s="95"/>
      <c r="F62" s="96">
        <f>+F55</f>
        <v>82496506.96598655</v>
      </c>
      <c r="G62" s="96"/>
      <c r="H62" s="18"/>
      <c r="I62" s="3"/>
      <c r="J62" s="1"/>
      <c r="K62" s="4"/>
      <c r="L62" s="1"/>
      <c r="M62" s="1"/>
      <c r="N62" s="1"/>
      <c r="O62" s="1"/>
      <c r="P62" s="1"/>
      <c r="Q62" s="4"/>
      <c r="R62" s="4"/>
      <c r="S62" s="1"/>
    </row>
    <row r="63" spans="2:19">
      <c r="B63" s="1"/>
      <c r="C63" s="64" t="s">
        <v>28</v>
      </c>
      <c r="D63" s="95"/>
      <c r="E63" s="95"/>
      <c r="F63" s="96"/>
      <c r="G63" s="96"/>
      <c r="H63" s="18"/>
      <c r="I63" s="3"/>
      <c r="J63" s="1"/>
      <c r="K63" s="4"/>
      <c r="L63" s="1"/>
      <c r="M63" s="1"/>
      <c r="N63" s="1"/>
      <c r="O63" s="1"/>
      <c r="P63" s="1"/>
      <c r="Q63" s="4"/>
      <c r="R63" s="4"/>
      <c r="S63" s="1"/>
    </row>
    <row r="64" spans="2:19">
      <c r="B64" s="1"/>
      <c r="C64" s="22" t="s">
        <v>279</v>
      </c>
      <c r="D64" s="62"/>
      <c r="E64" s="18"/>
      <c r="F64" s="98">
        <f>+R122</f>
        <v>0</v>
      </c>
      <c r="G64" s="146"/>
      <c r="H64" s="18"/>
      <c r="I64" s="3"/>
      <c r="J64" s="1"/>
      <c r="K64" s="4"/>
      <c r="L64" s="1"/>
      <c r="M64" s="1"/>
      <c r="N64" s="1"/>
      <c r="O64" s="1"/>
      <c r="P64" s="1"/>
      <c r="Q64" s="4"/>
      <c r="R64" s="4"/>
      <c r="S64" s="1"/>
    </row>
    <row r="65" spans="2:19">
      <c r="B65" s="1"/>
      <c r="C65" s="22" t="s">
        <v>280</v>
      </c>
      <c r="D65" s="62"/>
      <c r="E65" s="18"/>
      <c r="F65" s="96">
        <f>+F62*F64</f>
        <v>0</v>
      </c>
      <c r="G65" s="96"/>
      <c r="H65" s="18"/>
      <c r="I65" s="3"/>
      <c r="J65" s="1"/>
      <c r="K65" s="4"/>
      <c r="L65" s="1"/>
      <c r="M65" s="1"/>
      <c r="N65" s="1"/>
      <c r="O65" s="1"/>
      <c r="P65" s="1"/>
      <c r="Q65" s="4"/>
      <c r="R65" s="4"/>
      <c r="S65" s="1"/>
    </row>
    <row r="66" spans="2:19">
      <c r="B66" s="1"/>
      <c r="C66" s="22" t="s">
        <v>281</v>
      </c>
      <c r="D66" s="62"/>
      <c r="E66" s="18"/>
      <c r="F66" s="99">
        <v>0.22</v>
      </c>
      <c r="G66" s="196"/>
      <c r="H66" s="18"/>
      <c r="I66" s="3"/>
      <c r="J66" s="1"/>
      <c r="K66" s="4"/>
      <c r="L66" s="1"/>
      <c r="M66" s="1"/>
      <c r="N66" s="1"/>
      <c r="O66" s="1"/>
      <c r="P66" s="1"/>
      <c r="Q66" s="4"/>
      <c r="R66" s="4"/>
      <c r="S66" s="1"/>
    </row>
    <row r="67" spans="2:19">
      <c r="B67" s="1"/>
      <c r="C67" s="22" t="s">
        <v>282</v>
      </c>
      <c r="D67" s="62"/>
      <c r="E67" s="18"/>
      <c r="F67" s="96">
        <f>+F65*F66</f>
        <v>0</v>
      </c>
      <c r="G67" s="96"/>
      <c r="H67" s="18"/>
      <c r="I67" s="3"/>
      <c r="J67" s="1"/>
      <c r="K67" s="4"/>
      <c r="L67" s="1"/>
      <c r="M67" s="1"/>
      <c r="N67" s="1"/>
      <c r="O67" s="1"/>
      <c r="P67" s="1"/>
      <c r="Q67" s="4"/>
      <c r="R67" s="4"/>
      <c r="S67" s="1"/>
    </row>
    <row r="68" spans="2:19">
      <c r="B68" s="1"/>
      <c r="C68" s="22" t="s">
        <v>283</v>
      </c>
      <c r="D68" s="62"/>
      <c r="E68" s="18"/>
      <c r="F68" s="99">
        <v>0.01</v>
      </c>
      <c r="G68" s="196"/>
      <c r="H68" s="18"/>
      <c r="I68" s="3"/>
      <c r="J68" s="1"/>
      <c r="K68" s="4"/>
      <c r="L68" s="1"/>
      <c r="M68" s="1"/>
      <c r="N68" s="1"/>
      <c r="O68" s="1"/>
      <c r="P68" s="1"/>
      <c r="Q68" s="4"/>
      <c r="R68" s="4"/>
      <c r="S68" s="1"/>
    </row>
    <row r="69" spans="2:19">
      <c r="B69" s="1"/>
      <c r="C69" s="22" t="s">
        <v>284</v>
      </c>
      <c r="D69" s="62"/>
      <c r="E69" s="18"/>
      <c r="F69" s="96">
        <f>+F67*F68</f>
        <v>0</v>
      </c>
      <c r="G69" s="96"/>
      <c r="H69" s="18"/>
      <c r="I69" s="3"/>
      <c r="J69" s="1"/>
      <c r="K69" s="4"/>
      <c r="L69" s="1"/>
      <c r="M69" s="1"/>
      <c r="N69" s="1"/>
      <c r="O69" s="1"/>
      <c r="P69" s="1"/>
      <c r="Q69" s="4"/>
      <c r="R69" s="4"/>
      <c r="S69" s="1"/>
    </row>
    <row r="70" spans="2:19">
      <c r="B70" s="1"/>
      <c r="C70" s="22" t="s">
        <v>285</v>
      </c>
      <c r="D70" s="62"/>
      <c r="E70" s="18"/>
      <c r="F70" s="100">
        <f>+ROUND((F69*F66*F64)/(1-F68)*F68,0)</f>
        <v>0</v>
      </c>
      <c r="G70" s="197"/>
      <c r="H70" s="18"/>
      <c r="I70" s="3"/>
      <c r="J70" s="1"/>
      <c r="K70" s="4"/>
      <c r="L70" s="1"/>
      <c r="M70" s="1"/>
      <c r="N70" s="1"/>
      <c r="O70" s="1"/>
      <c r="P70" s="1"/>
      <c r="Q70" s="4"/>
      <c r="R70" s="4"/>
      <c r="S70" s="1"/>
    </row>
    <row r="71" spans="2:19">
      <c r="B71" s="1"/>
      <c r="C71" s="22" t="s">
        <v>29</v>
      </c>
      <c r="D71" s="62"/>
      <c r="E71" s="18"/>
      <c r="F71" s="96">
        <f>+F69+F70</f>
        <v>0</v>
      </c>
      <c r="G71" s="96"/>
      <c r="H71" s="18"/>
      <c r="I71" s="3"/>
      <c r="J71" s="1"/>
      <c r="K71" s="4"/>
      <c r="L71" s="1"/>
      <c r="M71" s="1"/>
      <c r="N71" s="1"/>
      <c r="O71" s="1"/>
      <c r="P71" s="1"/>
      <c r="Q71" s="4"/>
      <c r="R71" s="4"/>
      <c r="S71" s="1"/>
    </row>
    <row r="72" spans="2:19">
      <c r="B72" s="1"/>
      <c r="C72" s="1"/>
      <c r="D72" s="2"/>
      <c r="E72" s="1"/>
      <c r="F72" s="1"/>
      <c r="G72" s="1"/>
      <c r="H72" s="1"/>
      <c r="I72" s="3"/>
      <c r="J72" s="1"/>
      <c r="K72" s="4"/>
      <c r="L72" s="1"/>
      <c r="M72" s="1"/>
      <c r="N72" s="1"/>
      <c r="O72" s="1"/>
      <c r="P72" s="1"/>
      <c r="Q72" s="4"/>
      <c r="R72" s="4"/>
      <c r="S72" s="1"/>
    </row>
    <row r="73" spans="2:19" ht="15.75">
      <c r="B73" s="1"/>
      <c r="C73" s="8" t="str">
        <f>"D.   Determine FCR with hypothetical "&amp;F13&amp;" basis point ROE increase."</f>
        <v>D.   Determine FCR with hypothetical 0 basis point ROE increase.</v>
      </c>
      <c r="D73" s="2"/>
      <c r="E73" s="1"/>
      <c r="F73" s="1"/>
      <c r="G73" s="1"/>
      <c r="H73" s="1"/>
      <c r="I73" s="10"/>
      <c r="J73" s="1"/>
      <c r="K73" s="4"/>
      <c r="L73" s="1"/>
      <c r="M73" s="1"/>
      <c r="N73" s="1"/>
      <c r="O73" s="1"/>
      <c r="P73" s="1"/>
      <c r="Q73" s="4"/>
      <c r="R73" s="4"/>
      <c r="S73" s="1"/>
    </row>
    <row r="74" spans="2:19">
      <c r="B74" s="1"/>
      <c r="C74" s="1"/>
      <c r="D74" s="2"/>
      <c r="E74" s="1"/>
      <c r="F74" s="1"/>
      <c r="G74" s="1"/>
      <c r="H74" s="1"/>
      <c r="I74" s="3"/>
      <c r="J74" s="1"/>
      <c r="K74" s="4"/>
      <c r="L74" s="1"/>
      <c r="M74" s="1"/>
      <c r="N74" s="1"/>
      <c r="O74" s="1"/>
      <c r="P74" s="1"/>
      <c r="Q74" s="4"/>
      <c r="R74" s="4"/>
      <c r="S74" s="1"/>
    </row>
    <row r="75" spans="2:19">
      <c r="B75" s="1"/>
      <c r="C75" s="73" t="str">
        <f>S123</f>
        <v xml:space="preserve">   Net Transmission Plant  (True-Up TCOS, ln 39)</v>
      </c>
      <c r="D75" s="2"/>
      <c r="E75" s="1"/>
      <c r="F75" s="63">
        <f>R123</f>
        <v>620656166.35159492</v>
      </c>
      <c r="G75" s="63"/>
      <c r="I75" s="10"/>
      <c r="J75" s="1"/>
      <c r="K75" s="4"/>
      <c r="L75" s="1"/>
      <c r="M75" s="1"/>
      <c r="N75" s="1"/>
      <c r="O75" s="1"/>
      <c r="P75" s="1"/>
      <c r="Q75" s="4"/>
      <c r="R75" s="4"/>
      <c r="S75" s="1"/>
    </row>
    <row r="76" spans="2:19" ht="15">
      <c r="B76" s="1"/>
      <c r="C76" s="22" t="str">
        <f>"   Net Revenue Requirement, with "&amp;F13&amp;" Basis Point ROE increase"</f>
        <v xml:space="preserve">   Net Revenue Requirement, with 0 Basis Point ROE increase</v>
      </c>
      <c r="D76" s="2"/>
      <c r="E76" s="1"/>
      <c r="F76" s="198">
        <f>+F57</f>
        <v>82496506.96598655</v>
      </c>
      <c r="G76" s="198"/>
      <c r="I76" s="10"/>
      <c r="J76" s="1"/>
      <c r="K76" s="4"/>
      <c r="L76" s="1"/>
      <c r="M76" s="1"/>
      <c r="N76" s="1"/>
      <c r="O76" s="1"/>
      <c r="P76" s="1"/>
      <c r="Q76" s="4"/>
      <c r="R76" s="4"/>
      <c r="S76" s="1"/>
    </row>
    <row r="77" spans="2:19">
      <c r="B77" s="1"/>
      <c r="C77" s="22" t="str">
        <f>"   FCR with "&amp;F13&amp;" Basis Point increase in ROE"</f>
        <v xml:space="preserve">   FCR with 0 Basis Point increase in ROE</v>
      </c>
      <c r="D77" s="2"/>
      <c r="E77" s="1"/>
      <c r="F77" s="103">
        <f>IF(F75=0,0,F76/F75)</f>
        <v>0.1329182104979735</v>
      </c>
      <c r="G77" s="103"/>
      <c r="I77" s="10"/>
      <c r="J77" s="1"/>
      <c r="K77" s="4"/>
      <c r="L77" s="1"/>
      <c r="M77" s="1"/>
      <c r="N77" s="1"/>
      <c r="O77" s="1"/>
      <c r="P77" s="1"/>
      <c r="Q77" s="4"/>
      <c r="R77" s="4"/>
      <c r="S77" s="1"/>
    </row>
    <row r="78" spans="2:19">
      <c r="B78" s="1"/>
      <c r="D78" s="2"/>
      <c r="E78" s="1"/>
      <c r="F78" s="18"/>
      <c r="G78" s="18"/>
      <c r="H78" s="199"/>
      <c r="I78" s="10"/>
      <c r="J78" s="1"/>
      <c r="K78" s="4"/>
      <c r="L78" s="1"/>
      <c r="M78" s="1"/>
      <c r="N78" s="1"/>
      <c r="O78" s="1"/>
      <c r="P78" s="1"/>
      <c r="Q78" s="4"/>
      <c r="R78" s="4"/>
      <c r="S78" s="1"/>
    </row>
    <row r="79" spans="2:19">
      <c r="B79" s="1"/>
      <c r="C79" s="22" t="str">
        <f>"   Net Rev. Req, w / "&amp;F13&amp;" Basis Point ROE increase, less Dep."</f>
        <v xml:space="preserve">   Net Rev. Req, w / 0 Basis Point ROE increase, less Dep.</v>
      </c>
      <c r="D79" s="2"/>
      <c r="E79" s="1"/>
      <c r="F79" s="63">
        <f>+F59</f>
        <v>63763463.05475302</v>
      </c>
      <c r="G79" s="63"/>
      <c r="I79" s="10"/>
      <c r="J79" s="1"/>
      <c r="K79" s="4"/>
      <c r="L79" s="1"/>
      <c r="M79" s="1"/>
      <c r="N79" s="1"/>
      <c r="O79" s="1"/>
      <c r="P79" s="1"/>
      <c r="Q79" s="4"/>
      <c r="R79" s="4"/>
      <c r="S79" s="1"/>
    </row>
    <row r="80" spans="2:19">
      <c r="B80" s="1"/>
      <c r="C80" s="22" t="str">
        <f>"   FCR with "&amp;F13&amp;" Basis Point ROE increase, less Depreciation"</f>
        <v xml:space="preserve">   FCR with 0 Basis Point ROE increase, less Depreciation</v>
      </c>
      <c r="D80" s="2"/>
      <c r="E80" s="1"/>
      <c r="F80" s="103">
        <f>IF(F75=0,0,F79/F75)</f>
        <v>0.10273556682691801</v>
      </c>
      <c r="G80" s="103"/>
      <c r="H80" s="101"/>
      <c r="I80" s="10"/>
      <c r="J80" s="1"/>
      <c r="K80" s="4"/>
      <c r="L80" s="1"/>
      <c r="M80" s="1"/>
      <c r="N80" s="1"/>
      <c r="O80" s="1"/>
      <c r="P80" s="1"/>
      <c r="Q80" s="4"/>
      <c r="R80" s="4"/>
      <c r="S80" s="1"/>
    </row>
    <row r="81" spans="2:19">
      <c r="B81" s="1"/>
      <c r="C81" s="73" t="str">
        <f>S124</f>
        <v xml:space="preserve">   FCR less Depreciation  (True-Up TCOS, ln 12)</v>
      </c>
      <c r="D81" s="2"/>
      <c r="E81" s="1"/>
      <c r="F81" s="104">
        <f>R124</f>
        <v>0.10273556682691798</v>
      </c>
      <c r="G81" s="104"/>
      <c r="H81" s="200"/>
      <c r="I81" s="10"/>
      <c r="J81" s="1"/>
      <c r="K81" s="4"/>
      <c r="L81" s="1"/>
      <c r="M81" s="1"/>
      <c r="N81" s="1"/>
      <c r="O81" s="1"/>
      <c r="P81" s="1"/>
      <c r="Q81" s="4"/>
      <c r="R81" s="4"/>
      <c r="S81" s="1"/>
    </row>
    <row r="82" spans="2:19">
      <c r="B82" s="1"/>
      <c r="C82" s="22" t="str">
        <f>"   Incremental FCR with "&amp;F13&amp;" Basis Point ROE increase, less Depreciation"</f>
        <v xml:space="preserve">   Incremental FCR with 0 Basis Point ROE increase, less Depreciation</v>
      </c>
      <c r="D82" s="2"/>
      <c r="E82" s="1"/>
      <c r="F82" s="103">
        <f>F80-F81</f>
        <v>0</v>
      </c>
      <c r="G82" s="103"/>
      <c r="I82" s="10"/>
      <c r="J82" s="1"/>
      <c r="K82" s="4"/>
      <c r="L82" s="1"/>
      <c r="M82" s="1"/>
      <c r="N82" s="1"/>
      <c r="O82" s="1"/>
      <c r="P82" s="1"/>
      <c r="Q82" s="4"/>
      <c r="R82" s="4"/>
      <c r="S82" s="1"/>
    </row>
    <row r="83" spans="2:19">
      <c r="B83" s="1"/>
      <c r="C83" s="22"/>
      <c r="D83" s="2"/>
      <c r="E83" s="1"/>
      <c r="F83" s="103"/>
      <c r="G83" s="103"/>
      <c r="H83" s="1"/>
      <c r="I83" s="3"/>
      <c r="J83" s="1"/>
      <c r="K83" s="4"/>
      <c r="L83" s="1"/>
      <c r="M83" s="1"/>
      <c r="N83" s="1"/>
      <c r="O83" s="1"/>
      <c r="P83" s="1"/>
      <c r="Q83" s="4"/>
      <c r="R83" s="4"/>
      <c r="S83" s="1"/>
    </row>
    <row r="84" spans="2:19" ht="18.75">
      <c r="B84" s="5" t="s">
        <v>30</v>
      </c>
      <c r="C84" s="71" t="s">
        <v>31</v>
      </c>
      <c r="D84" s="2"/>
      <c r="E84" s="1"/>
      <c r="F84" s="103"/>
      <c r="G84" s="103"/>
      <c r="H84" s="1"/>
      <c r="I84" s="3"/>
      <c r="J84" s="1"/>
      <c r="K84" s="4"/>
      <c r="L84" s="1"/>
      <c r="M84" s="1"/>
      <c r="N84" s="1"/>
      <c r="O84" s="1"/>
      <c r="P84" s="1"/>
      <c r="Q84" s="4"/>
      <c r="R84" s="4"/>
      <c r="S84" s="1"/>
    </row>
    <row r="85" spans="2:19" ht="12.75" customHeight="1">
      <c r="B85" s="5"/>
      <c r="C85" s="71"/>
      <c r="D85" s="2"/>
      <c r="E85" s="1"/>
      <c r="F85" s="103"/>
      <c r="G85" s="103"/>
      <c r="H85" s="1"/>
      <c r="I85" s="3"/>
      <c r="J85" s="1"/>
      <c r="K85" s="4"/>
      <c r="L85" s="1"/>
      <c r="M85" s="1"/>
      <c r="N85" s="1"/>
      <c r="O85" s="1"/>
      <c r="P85" s="1"/>
      <c r="Q85" s="4"/>
      <c r="R85" s="4"/>
      <c r="S85" s="1"/>
    </row>
    <row r="86" spans="2:19" ht="12.75" customHeight="1">
      <c r="B86" s="5"/>
      <c r="C86" s="22" t="s">
        <v>32</v>
      </c>
      <c r="D86" s="2"/>
      <c r="F86" s="97">
        <f>R125</f>
        <v>858822495</v>
      </c>
      <c r="G86" s="1" t="s">
        <v>274</v>
      </c>
      <c r="I86" s="3"/>
      <c r="J86" s="1"/>
      <c r="K86" s="4"/>
      <c r="L86" s="1"/>
      <c r="M86" s="1"/>
      <c r="N86" s="1"/>
      <c r="O86" s="1"/>
      <c r="P86" s="1"/>
      <c r="Q86" s="4"/>
      <c r="R86" s="4"/>
      <c r="S86" s="1"/>
    </row>
    <row r="87" spans="2:19" ht="12.75" customHeight="1">
      <c r="B87" s="5"/>
      <c r="C87" s="22" t="s">
        <v>33</v>
      </c>
      <c r="D87" s="2"/>
      <c r="F87" s="106">
        <f>R126</f>
        <v>892407778</v>
      </c>
      <c r="G87" s="1" t="s">
        <v>274</v>
      </c>
      <c r="I87" s="3"/>
      <c r="J87" s="1"/>
      <c r="K87" s="4"/>
      <c r="L87" s="1"/>
      <c r="M87" s="1"/>
      <c r="N87" s="1"/>
      <c r="O87" s="1"/>
      <c r="P87" s="1"/>
      <c r="Q87" s="4"/>
      <c r="R87" s="4"/>
      <c r="S87" s="1"/>
    </row>
    <row r="88" spans="2:19" ht="12.75" customHeight="1">
      <c r="B88" s="5"/>
      <c r="C88" s="22"/>
      <c r="D88" s="2"/>
      <c r="F88" s="3">
        <f>+F87+F86</f>
        <v>1751230273</v>
      </c>
      <c r="G88" s="3"/>
      <c r="H88" s="1"/>
      <c r="I88" s="3"/>
      <c r="J88" s="1"/>
      <c r="K88" s="4"/>
      <c r="L88" s="1"/>
      <c r="M88" s="1"/>
      <c r="N88" s="1"/>
      <c r="O88" s="1"/>
      <c r="P88" s="1"/>
      <c r="Q88" s="4"/>
      <c r="R88" s="4"/>
      <c r="S88" s="1"/>
    </row>
    <row r="89" spans="2:19">
      <c r="B89" s="1"/>
      <c r="C89" s="22" t="str">
        <f>+S127</f>
        <v>Transmission Plant Average Balance for 2018</v>
      </c>
      <c r="D89" s="62"/>
      <c r="E89" s="107"/>
      <c r="F89" s="88">
        <f>+F88/2</f>
        <v>875615136.5</v>
      </c>
      <c r="G89" s="88"/>
      <c r="I89" s="3"/>
      <c r="J89" s="1"/>
      <c r="K89" s="4"/>
      <c r="L89" s="1"/>
      <c r="M89" s="1"/>
      <c r="N89" s="1"/>
      <c r="O89" s="1"/>
      <c r="P89" s="1"/>
      <c r="Q89" s="4"/>
      <c r="R89" s="4"/>
      <c r="S89" s="1"/>
    </row>
    <row r="90" spans="2:19">
      <c r="B90" s="1"/>
      <c r="C90" s="11" t="str">
        <f>S128</f>
        <v>Annual Depreciation Expense  (True-Up TCOS, ln 82)</v>
      </c>
      <c r="D90" s="62"/>
      <c r="E90" s="18"/>
      <c r="F90" s="88">
        <f>R128</f>
        <v>20436310</v>
      </c>
      <c r="G90" s="88"/>
      <c r="I90" s="3"/>
      <c r="J90" s="1"/>
      <c r="K90" s="4"/>
      <c r="L90" s="1"/>
      <c r="M90" s="1"/>
      <c r="N90" s="1"/>
      <c r="O90" s="1"/>
      <c r="P90" s="1"/>
      <c r="Q90" s="4"/>
      <c r="R90" s="4"/>
      <c r="S90" s="1"/>
    </row>
    <row r="91" spans="2:19">
      <c r="B91" s="1"/>
      <c r="C91" s="22" t="s">
        <v>34</v>
      </c>
      <c r="D91" s="2"/>
      <c r="E91" s="1"/>
      <c r="F91" s="103">
        <f>IF(F89=0,0,F90/F89)</f>
        <v>2.3339374969793023E-2</v>
      </c>
      <c r="G91" s="103"/>
      <c r="H91" s="1"/>
      <c r="I91" s="109"/>
      <c r="J91" s="1"/>
      <c r="K91" s="4"/>
      <c r="L91" s="1"/>
      <c r="M91" s="1"/>
      <c r="N91" s="1"/>
      <c r="O91" s="1"/>
      <c r="P91" s="1"/>
      <c r="Q91" s="4"/>
      <c r="R91" s="4"/>
      <c r="S91" s="1"/>
    </row>
    <row r="92" spans="2:19">
      <c r="B92" s="1"/>
      <c r="C92" s="22" t="s">
        <v>35</v>
      </c>
      <c r="D92" s="2"/>
      <c r="E92" s="1"/>
      <c r="F92" s="110">
        <f>IF(F91=0,0,1/F91)</f>
        <v>42.84604884639154</v>
      </c>
      <c r="G92" s="110"/>
      <c r="H92" s="1"/>
      <c r="I92" s="3"/>
      <c r="J92" s="1"/>
      <c r="K92" s="4"/>
      <c r="L92" s="1"/>
      <c r="M92" s="1"/>
      <c r="N92" s="1"/>
      <c r="O92" s="1"/>
      <c r="P92" s="1"/>
      <c r="Q92" s="4"/>
      <c r="R92" s="4"/>
      <c r="S92" s="1"/>
    </row>
    <row r="93" spans="2:19">
      <c r="B93" s="1"/>
      <c r="C93" s="22" t="s">
        <v>36</v>
      </c>
      <c r="D93" s="2"/>
      <c r="E93" s="1"/>
      <c r="F93" s="111">
        <f>ROUND(F92,0)</f>
        <v>43</v>
      </c>
      <c r="G93" s="111"/>
      <c r="H93" s="1"/>
      <c r="I93" s="3"/>
      <c r="J93" s="1"/>
      <c r="K93" s="4"/>
      <c r="L93" s="1"/>
      <c r="M93" s="1"/>
      <c r="N93" s="1"/>
      <c r="O93" s="1"/>
      <c r="P93" s="1"/>
      <c r="Q93" s="4"/>
      <c r="R93" s="4"/>
      <c r="S93" s="1"/>
    </row>
    <row r="94" spans="2:19">
      <c r="B94" s="1"/>
      <c r="C94" s="22"/>
      <c r="D94" s="2"/>
      <c r="E94" s="1"/>
      <c r="F94" s="111"/>
      <c r="G94" s="111"/>
      <c r="H94" s="1"/>
      <c r="I94" s="3"/>
      <c r="J94" s="1"/>
      <c r="K94" s="4"/>
      <c r="L94" s="1"/>
      <c r="M94" s="1"/>
      <c r="N94" s="1"/>
      <c r="O94" s="1"/>
      <c r="P94" s="1"/>
      <c r="Q94" s="4"/>
      <c r="R94" s="4"/>
      <c r="S94" s="1"/>
    </row>
    <row r="95" spans="2:19">
      <c r="B95" s="1"/>
      <c r="C95" s="22"/>
      <c r="D95" s="2"/>
      <c r="E95" s="1"/>
      <c r="F95" s="111"/>
      <c r="G95" s="111"/>
      <c r="H95" s="1"/>
      <c r="I95" s="3"/>
      <c r="J95" s="1"/>
      <c r="K95" s="4"/>
      <c r="L95" s="1"/>
      <c r="M95" s="1"/>
      <c r="N95" s="1"/>
      <c r="O95" s="1"/>
      <c r="P95" s="1"/>
      <c r="Q95" s="4"/>
      <c r="R95" s="4"/>
      <c r="S95" s="1"/>
    </row>
    <row r="96" spans="2:19">
      <c r="B96" s="1"/>
      <c r="C96" s="22"/>
      <c r="D96" s="2"/>
      <c r="E96" s="1"/>
      <c r="F96" s="111"/>
      <c r="G96" s="111"/>
      <c r="H96" s="1"/>
      <c r="I96" s="3"/>
      <c r="J96" s="1"/>
      <c r="K96" s="4"/>
      <c r="L96" s="1"/>
      <c r="M96" s="1"/>
      <c r="N96" s="1"/>
      <c r="O96" s="1"/>
      <c r="P96" s="1"/>
      <c r="Q96" s="4"/>
      <c r="R96" s="4"/>
      <c r="S96" s="1"/>
    </row>
    <row r="97" spans="3:19">
      <c r="C97" s="1"/>
      <c r="D97" s="2"/>
      <c r="E97" s="1"/>
      <c r="F97" s="1"/>
      <c r="G97" s="1"/>
      <c r="H97" s="1"/>
      <c r="I97" s="3"/>
      <c r="J97" s="1"/>
      <c r="K97" s="4"/>
      <c r="L97" s="1"/>
      <c r="M97" s="1"/>
      <c r="N97" s="1"/>
      <c r="O97" s="1"/>
      <c r="P97" s="1"/>
      <c r="Q97" s="4"/>
      <c r="R97" s="233" t="s">
        <v>121</v>
      </c>
      <c r="S97" s="232" t="s">
        <v>127</v>
      </c>
    </row>
    <row r="98" spans="3:19">
      <c r="C98" s="1"/>
      <c r="D98" s="2"/>
      <c r="E98" s="1"/>
      <c r="F98" s="1"/>
      <c r="G98" s="1"/>
      <c r="H98" s="1"/>
      <c r="I98" s="3"/>
      <c r="J98" s="1"/>
      <c r="K98" s="4"/>
      <c r="L98" s="1"/>
      <c r="M98" s="1"/>
      <c r="N98" s="1"/>
      <c r="O98" s="1"/>
      <c r="P98" s="1"/>
      <c r="Q98" s="4"/>
    </row>
    <row r="99" spans="3:19">
      <c r="C99" s="240" t="s">
        <v>117</v>
      </c>
      <c r="J99" s="7"/>
      <c r="L99" s="240" t="s">
        <v>116</v>
      </c>
      <c r="N99" s="1"/>
      <c r="O99" s="1"/>
      <c r="P99" s="1"/>
      <c r="Q99" s="4"/>
    </row>
    <row r="100" spans="3:19">
      <c r="C100" s="1"/>
      <c r="D100" s="2"/>
      <c r="E100" s="1"/>
      <c r="F100" s="1"/>
      <c r="G100" s="1"/>
      <c r="H100" s="1"/>
      <c r="I100" s="3"/>
      <c r="J100" s="1"/>
      <c r="K100" s="4"/>
      <c r="L100" s="1"/>
      <c r="M100" s="1"/>
      <c r="N100" s="1"/>
      <c r="O100" s="1"/>
      <c r="P100" s="1"/>
      <c r="Q100" s="4"/>
      <c r="S100" s="232" t="s">
        <v>114</v>
      </c>
    </row>
    <row r="101" spans="3:19">
      <c r="C101" s="1"/>
      <c r="D101" s="2"/>
      <c r="E101" s="1"/>
      <c r="F101" s="1"/>
      <c r="G101" s="1"/>
      <c r="H101" s="1"/>
      <c r="I101" s="3"/>
      <c r="J101" s="1"/>
      <c r="K101" s="4"/>
      <c r="L101" s="1"/>
      <c r="M101" s="1"/>
      <c r="N101" s="1"/>
      <c r="O101" s="1"/>
      <c r="P101" s="1"/>
      <c r="Q101" s="4"/>
      <c r="R101" s="233" t="s">
        <v>110</v>
      </c>
      <c r="S101" s="236" t="s">
        <v>130</v>
      </c>
    </row>
    <row r="102" spans="3:19" ht="13.5" thickBot="1">
      <c r="C102" s="1"/>
      <c r="D102" s="2"/>
      <c r="E102" s="1"/>
      <c r="F102" s="1"/>
      <c r="G102" s="1"/>
      <c r="H102" s="1"/>
      <c r="I102" s="3"/>
      <c r="J102" s="1"/>
      <c r="K102" s="4"/>
      <c r="L102" s="1"/>
      <c r="M102" s="1"/>
      <c r="N102" s="1"/>
      <c r="O102" s="1"/>
      <c r="P102" s="1"/>
      <c r="Q102" s="4"/>
      <c r="R102" s="235" t="s">
        <v>217</v>
      </c>
    </row>
    <row r="103" spans="3:19">
      <c r="C103" s="1"/>
      <c r="D103" s="2"/>
      <c r="E103" s="1"/>
      <c r="F103" s="1"/>
      <c r="G103" s="1"/>
      <c r="H103" s="1"/>
      <c r="I103" s="3"/>
      <c r="J103" s="1"/>
      <c r="K103" s="4"/>
      <c r="L103" s="1"/>
      <c r="M103" s="1"/>
      <c r="N103" s="1"/>
      <c r="O103" s="1"/>
      <c r="P103" s="1"/>
      <c r="Q103" s="4"/>
      <c r="R103" s="402" t="s">
        <v>204</v>
      </c>
      <c r="S103" s="243" t="s">
        <v>138</v>
      </c>
    </row>
    <row r="104" spans="3:19">
      <c r="C104" s="1"/>
      <c r="D104" s="2"/>
      <c r="E104" s="1"/>
      <c r="F104" s="1"/>
      <c r="G104" s="1"/>
      <c r="H104" s="1"/>
      <c r="I104" s="3"/>
      <c r="J104" s="1"/>
      <c r="K104" s="4"/>
      <c r="L104" s="1"/>
      <c r="M104" s="1"/>
      <c r="N104" s="1"/>
      <c r="O104" s="1"/>
      <c r="P104" s="1"/>
      <c r="Q104" s="4"/>
      <c r="R104" s="403">
        <v>2018</v>
      </c>
      <c r="S104" s="39" t="s">
        <v>89</v>
      </c>
    </row>
    <row r="105" spans="3:19">
      <c r="C105" s="1"/>
      <c r="D105" s="2"/>
      <c r="E105" s="1"/>
      <c r="F105" s="1"/>
      <c r="G105" s="1"/>
      <c r="H105" s="1"/>
      <c r="I105" s="3"/>
      <c r="J105" s="1"/>
      <c r="K105" s="4"/>
      <c r="L105" s="1"/>
      <c r="M105" s="1"/>
      <c r="N105" s="1"/>
      <c r="O105" s="1"/>
      <c r="P105" s="1"/>
      <c r="Q105" s="4"/>
      <c r="R105" s="390">
        <v>0.105</v>
      </c>
      <c r="S105" s="389" t="s">
        <v>331</v>
      </c>
    </row>
    <row r="106" spans="3:19">
      <c r="C106" s="1"/>
      <c r="D106" s="2"/>
      <c r="E106" s="1"/>
      <c r="F106" s="1"/>
      <c r="G106" s="1"/>
      <c r="H106" s="1"/>
      <c r="I106" s="3"/>
      <c r="J106" s="1"/>
      <c r="K106" s="4"/>
      <c r="L106" s="1"/>
      <c r="M106" s="1"/>
      <c r="N106" s="1"/>
      <c r="O106" s="1"/>
      <c r="P106" s="1"/>
      <c r="Q106" s="4"/>
      <c r="R106" s="484">
        <v>0</v>
      </c>
      <c r="S106" s="389" t="s">
        <v>1</v>
      </c>
    </row>
    <row r="107" spans="3:19">
      <c r="C107" s="1"/>
      <c r="D107" s="2"/>
      <c r="E107" s="1"/>
      <c r="F107" s="1"/>
      <c r="G107" s="1"/>
      <c r="H107" s="1"/>
      <c r="I107" s="3"/>
      <c r="J107" s="1"/>
      <c r="K107" s="4"/>
      <c r="L107" s="1"/>
      <c r="M107" s="1"/>
      <c r="N107" s="1"/>
      <c r="O107" s="1"/>
      <c r="P107" s="1"/>
      <c r="Q107" s="4"/>
      <c r="R107" s="390">
        <v>0.51250191622016406</v>
      </c>
      <c r="S107" s="391" t="s">
        <v>104</v>
      </c>
    </row>
    <row r="108" spans="3:19">
      <c r="C108" s="1"/>
      <c r="D108" s="2"/>
      <c r="E108" s="1"/>
      <c r="F108" s="1"/>
      <c r="G108" s="1"/>
      <c r="H108" s="1"/>
      <c r="I108" s="3"/>
      <c r="J108" s="1"/>
      <c r="K108" s="4"/>
      <c r="L108" s="1"/>
      <c r="M108" s="1"/>
      <c r="N108" s="1"/>
      <c r="O108" s="1"/>
      <c r="P108" s="1"/>
      <c r="Q108" s="4"/>
      <c r="R108" s="392">
        <v>4.6781018729819407E-2</v>
      </c>
      <c r="S108" s="391" t="s">
        <v>105</v>
      </c>
    </row>
    <row r="109" spans="3:19">
      <c r="C109" s="1"/>
      <c r="D109" s="2"/>
      <c r="E109" s="1"/>
      <c r="F109" s="1"/>
      <c r="G109" s="1"/>
      <c r="H109" s="1"/>
      <c r="I109" s="3"/>
      <c r="J109" s="1"/>
      <c r="K109" s="4"/>
      <c r="L109" s="1"/>
      <c r="M109" s="1"/>
      <c r="N109" s="1"/>
      <c r="O109" s="1"/>
      <c r="P109" s="1"/>
      <c r="Q109" s="4"/>
      <c r="R109" s="390">
        <v>0</v>
      </c>
      <c r="S109" s="391" t="s">
        <v>106</v>
      </c>
    </row>
    <row r="110" spans="3:19">
      <c r="C110" s="1"/>
      <c r="D110" s="2"/>
      <c r="E110" s="1"/>
      <c r="F110" s="1"/>
      <c r="G110" s="1"/>
      <c r="H110" s="1"/>
      <c r="I110" s="3"/>
      <c r="J110" s="1"/>
      <c r="K110" s="4"/>
      <c r="L110" s="1"/>
      <c r="M110" s="1"/>
      <c r="N110" s="1"/>
      <c r="O110" s="1"/>
      <c r="P110" s="1"/>
      <c r="Q110" s="4"/>
      <c r="R110" s="392">
        <v>0</v>
      </c>
      <c r="S110" s="391" t="s">
        <v>107</v>
      </c>
    </row>
    <row r="111" spans="3:19">
      <c r="C111" s="1"/>
      <c r="D111" s="2"/>
      <c r="E111" s="1"/>
      <c r="F111" s="1"/>
      <c r="G111" s="1"/>
      <c r="H111" s="1"/>
      <c r="I111" s="3"/>
      <c r="J111" s="1"/>
      <c r="K111" s="4"/>
      <c r="L111" s="1"/>
      <c r="M111" s="1"/>
      <c r="N111" s="1"/>
      <c r="O111" s="1"/>
      <c r="P111" s="1"/>
      <c r="Q111" s="4"/>
      <c r="R111" s="390">
        <v>0.48749808377983594</v>
      </c>
      <c r="S111" s="393" t="s">
        <v>108</v>
      </c>
    </row>
    <row r="112" spans="3:19">
      <c r="C112" s="1"/>
      <c r="D112" s="2"/>
      <c r="E112" s="1"/>
      <c r="F112" s="1"/>
      <c r="G112" s="1"/>
      <c r="H112" s="1"/>
      <c r="I112" s="3"/>
      <c r="J112" s="1"/>
      <c r="K112" s="4"/>
      <c r="L112" s="1"/>
      <c r="M112" s="1"/>
      <c r="N112" s="1"/>
      <c r="O112" s="1"/>
      <c r="P112" s="1"/>
      <c r="Q112" s="4"/>
      <c r="R112" s="394">
        <v>453618577.73124564</v>
      </c>
      <c r="S112" s="395" t="s">
        <v>222</v>
      </c>
    </row>
    <row r="113" spans="3:19">
      <c r="C113" s="1"/>
      <c r="D113" s="2"/>
      <c r="E113" s="1"/>
      <c r="F113" s="1"/>
      <c r="G113" s="1"/>
      <c r="H113" s="1"/>
      <c r="I113" s="3"/>
      <c r="J113" s="1"/>
      <c r="K113" s="4"/>
      <c r="L113" s="1"/>
      <c r="M113" s="1"/>
      <c r="N113" s="1"/>
      <c r="O113" s="1"/>
      <c r="P113" s="1"/>
      <c r="Q113" s="4"/>
      <c r="R113" s="396">
        <v>0.2533709999999999</v>
      </c>
      <c r="S113" s="244" t="s">
        <v>332</v>
      </c>
    </row>
    <row r="114" spans="3:19">
      <c r="C114" s="1"/>
      <c r="D114" s="2"/>
      <c r="E114" s="1"/>
      <c r="F114" s="1"/>
      <c r="G114" s="1"/>
      <c r="H114" s="1"/>
      <c r="I114" s="3"/>
      <c r="J114" s="1"/>
      <c r="K114" s="4"/>
      <c r="L114" s="1"/>
      <c r="M114" s="1"/>
      <c r="N114" s="1"/>
      <c r="O114" s="1"/>
      <c r="P114" s="1"/>
      <c r="Q114" s="4"/>
      <c r="R114" s="394">
        <v>-435087.55511327944</v>
      </c>
      <c r="S114" s="244" t="s">
        <v>333</v>
      </c>
    </row>
    <row r="115" spans="3:19">
      <c r="C115" s="1"/>
      <c r="D115" s="2"/>
      <c r="E115" s="1"/>
      <c r="F115" s="1"/>
      <c r="G115" s="1"/>
      <c r="H115" s="1"/>
      <c r="I115" s="3"/>
      <c r="J115" s="1"/>
      <c r="K115" s="4"/>
      <c r="L115" s="1"/>
      <c r="M115" s="1"/>
      <c r="N115" s="1"/>
      <c r="O115" s="1"/>
      <c r="Q115" s="4"/>
      <c r="R115" s="394">
        <v>-4933248.5076256059</v>
      </c>
      <c r="S115" s="244" t="s">
        <v>343</v>
      </c>
    </row>
    <row r="116" spans="3:19">
      <c r="C116" s="1"/>
      <c r="D116" s="2"/>
      <c r="E116" s="1"/>
      <c r="F116" s="1"/>
      <c r="G116" s="1"/>
      <c r="H116" s="1"/>
      <c r="I116" s="3"/>
      <c r="J116" s="1"/>
      <c r="K116" s="4"/>
      <c r="L116" s="1"/>
      <c r="M116" s="1"/>
      <c r="N116" s="1"/>
      <c r="O116" s="1"/>
      <c r="Q116" s="4"/>
      <c r="R116" s="394">
        <v>78753.972856666413</v>
      </c>
      <c r="S116" s="244" t="s">
        <v>344</v>
      </c>
    </row>
    <row r="117" spans="3:19">
      <c r="C117" s="1"/>
      <c r="D117" s="2"/>
      <c r="E117" s="1"/>
      <c r="F117" s="1"/>
      <c r="G117" s="1"/>
      <c r="H117" s="1"/>
      <c r="I117" s="3"/>
      <c r="J117" s="1"/>
      <c r="K117" s="4"/>
      <c r="L117" s="1"/>
      <c r="M117" s="1"/>
      <c r="N117" s="1"/>
      <c r="O117" s="1"/>
      <c r="P117" s="1"/>
      <c r="Q117" s="4"/>
      <c r="R117" s="394">
        <v>82496506.965986535</v>
      </c>
      <c r="S117" s="244" t="s">
        <v>334</v>
      </c>
    </row>
    <row r="118" spans="3:19">
      <c r="C118" s="1"/>
      <c r="D118" s="2"/>
      <c r="E118" s="1"/>
      <c r="F118" s="1"/>
      <c r="G118" s="1"/>
      <c r="H118" s="1"/>
      <c r="I118" s="3"/>
      <c r="J118" s="1"/>
      <c r="K118" s="4"/>
      <c r="L118" s="1"/>
      <c r="M118" s="1"/>
      <c r="N118" s="1"/>
      <c r="O118" s="1"/>
      <c r="P118" s="1"/>
      <c r="Q118" s="4"/>
      <c r="R118" s="394">
        <v>34095179.172037296</v>
      </c>
      <c r="S118" s="244" t="s">
        <v>335</v>
      </c>
    </row>
    <row r="119" spans="3:19">
      <c r="C119" s="1"/>
      <c r="D119" s="2"/>
      <c r="E119" s="1"/>
      <c r="F119" s="1"/>
      <c r="G119" s="1"/>
      <c r="H119" s="1"/>
      <c r="I119" s="3"/>
      <c r="J119" s="1"/>
      <c r="K119" s="4"/>
      <c r="L119" s="1"/>
      <c r="M119" s="1"/>
      <c r="N119" s="1"/>
      <c r="O119" s="1"/>
      <c r="P119" s="1"/>
      <c r="Q119" s="4"/>
      <c r="R119" s="394">
        <v>2590034.6764925071</v>
      </c>
      <c r="S119" s="244" t="s">
        <v>336</v>
      </c>
    </row>
    <row r="120" spans="3:19">
      <c r="C120" s="1"/>
      <c r="D120" s="2"/>
      <c r="E120" s="1"/>
      <c r="F120" s="1"/>
      <c r="G120" s="1"/>
      <c r="H120" s="1"/>
      <c r="I120" s="3"/>
      <c r="J120" s="1"/>
      <c r="K120" s="4"/>
      <c r="L120" s="1"/>
      <c r="M120" s="1"/>
      <c r="N120" s="1"/>
      <c r="O120" s="1"/>
      <c r="P120" s="1"/>
      <c r="Q120" s="4"/>
      <c r="R120" s="394">
        <v>0</v>
      </c>
      <c r="S120" s="244" t="s">
        <v>337</v>
      </c>
    </row>
    <row r="121" spans="3:19">
      <c r="C121" s="1"/>
      <c r="D121" s="2"/>
      <c r="E121" s="1"/>
      <c r="F121" s="1"/>
      <c r="G121" s="1"/>
      <c r="H121" s="1"/>
      <c r="I121" s="3"/>
      <c r="J121" s="1"/>
      <c r="K121" s="4"/>
      <c r="L121" s="1"/>
      <c r="M121" s="1"/>
      <c r="N121" s="1"/>
      <c r="O121" s="1"/>
      <c r="P121" s="1"/>
      <c r="Q121" s="4"/>
      <c r="R121" s="394">
        <v>18733043.911233526</v>
      </c>
      <c r="S121" s="244" t="s">
        <v>338</v>
      </c>
    </row>
    <row r="122" spans="3:19">
      <c r="C122" s="1"/>
      <c r="D122" s="2"/>
      <c r="E122" s="1"/>
      <c r="F122" s="1"/>
      <c r="G122" s="1"/>
      <c r="H122" s="1"/>
      <c r="I122" s="3"/>
      <c r="J122" s="1"/>
      <c r="K122" s="4"/>
      <c r="L122" s="1"/>
      <c r="M122" s="1"/>
      <c r="N122" s="1"/>
      <c r="O122" s="1"/>
      <c r="P122" s="1"/>
      <c r="Q122" s="4"/>
      <c r="R122" s="396">
        <v>0</v>
      </c>
      <c r="S122" s="244" t="s">
        <v>113</v>
      </c>
    </row>
    <row r="123" spans="3:19">
      <c r="C123" s="1"/>
      <c r="D123" s="2"/>
      <c r="E123" s="1"/>
      <c r="F123" s="1"/>
      <c r="G123" s="1"/>
      <c r="H123" s="1"/>
      <c r="I123" s="3"/>
      <c r="J123" s="1"/>
      <c r="K123" s="4"/>
      <c r="L123" s="1"/>
      <c r="M123" s="1"/>
      <c r="N123" s="1"/>
      <c r="O123" s="1"/>
      <c r="P123" s="1"/>
      <c r="Q123" s="4"/>
      <c r="R123" s="394">
        <v>620656166.35159492</v>
      </c>
      <c r="S123" s="244" t="s">
        <v>223</v>
      </c>
    </row>
    <row r="124" spans="3:19">
      <c r="C124" s="1"/>
      <c r="D124" s="2"/>
      <c r="E124" s="1"/>
      <c r="F124" s="1"/>
      <c r="G124" s="1"/>
      <c r="H124" s="1"/>
      <c r="I124" s="3"/>
      <c r="J124" s="1"/>
      <c r="K124" s="4"/>
      <c r="L124" s="1"/>
      <c r="M124" s="1"/>
      <c r="N124" s="1"/>
      <c r="O124" s="1"/>
      <c r="P124" s="1"/>
      <c r="Q124" s="4"/>
      <c r="R124" s="396">
        <v>0.10273556682691798</v>
      </c>
      <c r="S124" s="397" t="s">
        <v>224</v>
      </c>
    </row>
    <row r="125" spans="3:19">
      <c r="C125" s="1"/>
      <c r="D125" s="2"/>
      <c r="E125" s="1"/>
      <c r="F125" s="1"/>
      <c r="G125" s="1"/>
      <c r="H125" s="1"/>
      <c r="I125" s="3"/>
      <c r="J125" s="1"/>
      <c r="K125" s="4"/>
      <c r="L125" s="1"/>
      <c r="M125" s="1"/>
      <c r="N125" s="1"/>
      <c r="O125" s="1"/>
      <c r="P125" s="1"/>
      <c r="Q125" s="4"/>
      <c r="R125" s="398">
        <v>858822495</v>
      </c>
      <c r="S125" s="391" t="s">
        <v>32</v>
      </c>
    </row>
    <row r="126" spans="3:19">
      <c r="C126" s="1"/>
      <c r="D126" s="2"/>
      <c r="E126" s="1"/>
      <c r="F126" s="1"/>
      <c r="G126" s="1"/>
      <c r="H126" s="1"/>
      <c r="I126" s="3"/>
      <c r="J126" s="1"/>
      <c r="K126" s="4"/>
      <c r="L126" s="1"/>
      <c r="M126" s="1"/>
      <c r="N126" s="1"/>
      <c r="O126" s="1"/>
      <c r="P126" s="1"/>
      <c r="Q126" s="4"/>
      <c r="R126" s="399">
        <v>892407778</v>
      </c>
      <c r="S126" s="393" t="s">
        <v>33</v>
      </c>
    </row>
    <row r="127" spans="3:19">
      <c r="C127" s="1"/>
      <c r="D127" s="2"/>
      <c r="E127" s="1"/>
      <c r="F127" s="1"/>
      <c r="G127" s="1"/>
      <c r="H127" s="1"/>
      <c r="I127" s="3"/>
      <c r="J127" s="1"/>
      <c r="K127" s="4"/>
      <c r="L127" s="1"/>
      <c r="M127" s="1"/>
      <c r="N127" s="1"/>
      <c r="O127" s="1"/>
      <c r="P127" s="1"/>
      <c r="Q127" s="4"/>
      <c r="R127" s="398">
        <v>875615136.5</v>
      </c>
      <c r="S127" s="400" t="s">
        <v>345</v>
      </c>
    </row>
    <row r="128" spans="3:19" ht="13.5" thickBot="1">
      <c r="C128" s="1"/>
      <c r="D128" s="2"/>
      <c r="E128" s="1"/>
      <c r="F128" s="1"/>
      <c r="G128" s="1"/>
      <c r="H128" s="1"/>
      <c r="I128" s="3"/>
      <c r="J128" s="1"/>
      <c r="K128" s="4"/>
      <c r="L128" s="1"/>
      <c r="M128" s="1"/>
      <c r="N128" s="1"/>
      <c r="O128" s="1"/>
      <c r="P128" s="1"/>
      <c r="Q128" s="4"/>
      <c r="R128" s="401">
        <v>20436310</v>
      </c>
      <c r="S128" s="245" t="s">
        <v>339</v>
      </c>
    </row>
    <row r="129" spans="3:19">
      <c r="C129" s="1"/>
      <c r="D129" s="2"/>
      <c r="E129" s="1"/>
      <c r="F129" s="1"/>
      <c r="G129" s="1"/>
      <c r="H129" s="1"/>
      <c r="I129" s="3"/>
      <c r="J129" s="1"/>
      <c r="K129" s="4"/>
      <c r="L129" s="1"/>
      <c r="M129" s="1"/>
      <c r="N129" s="1"/>
      <c r="O129" s="1"/>
      <c r="P129" s="1"/>
      <c r="Q129" s="4"/>
      <c r="R129" s="1"/>
      <c r="S129" s="1"/>
    </row>
    <row r="130" spans="3:19">
      <c r="C130" s="1"/>
      <c r="D130" s="2"/>
      <c r="E130" s="1"/>
      <c r="F130" s="1"/>
      <c r="G130" s="1"/>
      <c r="H130" s="1"/>
      <c r="I130" s="3"/>
      <c r="J130" s="1"/>
      <c r="K130" s="4"/>
      <c r="L130" s="1"/>
      <c r="M130" s="1"/>
      <c r="N130" s="1"/>
      <c r="O130" s="1"/>
      <c r="P130" s="1"/>
      <c r="Q130" s="4"/>
      <c r="R130" s="233" t="s">
        <v>111</v>
      </c>
      <c r="S130" s="1" t="s">
        <v>125</v>
      </c>
    </row>
    <row r="131" spans="3:19" ht="13.5" thickBot="1">
      <c r="C131" s="1"/>
      <c r="D131" s="2"/>
      <c r="E131" s="1"/>
      <c r="F131" s="1"/>
      <c r="G131" s="1"/>
      <c r="H131" s="1"/>
      <c r="I131" s="3"/>
      <c r="J131" s="1"/>
      <c r="K131" s="4"/>
      <c r="L131" s="1"/>
      <c r="M131" s="1"/>
      <c r="N131" s="1"/>
      <c r="O131" s="1"/>
      <c r="P131" s="1"/>
      <c r="Q131" s="4"/>
      <c r="R131" s="235" t="s">
        <v>129</v>
      </c>
      <c r="S131" s="1"/>
    </row>
    <row r="132" spans="3:19">
      <c r="C132" s="1"/>
      <c r="D132" s="2"/>
      <c r="E132" s="1"/>
      <c r="F132" s="1"/>
      <c r="G132" s="1"/>
      <c r="H132" s="1"/>
      <c r="I132" s="3"/>
      <c r="J132" s="1"/>
      <c r="K132" s="4"/>
      <c r="L132" s="1"/>
      <c r="M132" s="1"/>
      <c r="N132" s="1"/>
      <c r="O132" s="1"/>
      <c r="P132" s="1"/>
      <c r="Q132" s="4"/>
      <c r="R132" s="237">
        <v>7463959.3932195175</v>
      </c>
      <c r="S132" t="s">
        <v>131</v>
      </c>
    </row>
    <row r="133" spans="3:19">
      <c r="C133" s="1"/>
      <c r="D133" s="2"/>
      <c r="E133" s="1"/>
      <c r="F133" s="1"/>
      <c r="G133" s="1"/>
      <c r="H133" s="1"/>
      <c r="I133" s="3"/>
      <c r="J133" s="1"/>
      <c r="K133" s="4"/>
      <c r="L133" s="1"/>
      <c r="M133" s="1"/>
      <c r="N133" s="1"/>
      <c r="O133" s="1"/>
      <c r="P133" s="1"/>
      <c r="Q133" s="4"/>
      <c r="R133" s="238">
        <v>7463959.3932195175</v>
      </c>
      <c r="S133" t="s">
        <v>132</v>
      </c>
    </row>
    <row r="134" spans="3:19">
      <c r="C134" s="1"/>
      <c r="D134" s="2"/>
      <c r="E134" s="1"/>
      <c r="F134" s="1"/>
      <c r="G134" s="1"/>
      <c r="H134" s="1"/>
      <c r="I134" s="3"/>
      <c r="J134" s="1"/>
      <c r="K134" s="4"/>
      <c r="L134" s="1"/>
      <c r="M134" s="1"/>
      <c r="N134" s="1"/>
      <c r="O134" s="1"/>
      <c r="P134" s="1"/>
      <c r="Q134" s="4"/>
      <c r="R134" s="242">
        <v>5985111.4543428477</v>
      </c>
      <c r="S134" t="s">
        <v>133</v>
      </c>
    </row>
    <row r="135" spans="3:19" ht="13.5" thickBot="1">
      <c r="C135" s="1"/>
      <c r="D135" s="2"/>
      <c r="E135" s="1"/>
      <c r="F135" s="1"/>
      <c r="G135" s="1"/>
      <c r="H135" s="1"/>
      <c r="I135" s="3"/>
      <c r="J135" s="1"/>
      <c r="K135" s="4"/>
      <c r="L135" s="1"/>
      <c r="M135" s="1"/>
      <c r="N135" s="1"/>
      <c r="O135" s="1"/>
      <c r="P135" s="1"/>
      <c r="Q135" s="4"/>
      <c r="R135" s="239">
        <v>5985111.4543428477</v>
      </c>
      <c r="S135" t="s">
        <v>134</v>
      </c>
    </row>
    <row r="136" spans="3:19">
      <c r="C136" s="1"/>
      <c r="D136" s="2"/>
      <c r="E136" s="1"/>
      <c r="F136" s="1"/>
      <c r="G136" s="1"/>
      <c r="H136" s="1"/>
      <c r="I136" s="3"/>
      <c r="J136" s="1"/>
      <c r="K136" s="4"/>
      <c r="L136" s="1"/>
      <c r="M136" s="1"/>
      <c r="N136" s="1"/>
      <c r="O136" s="1"/>
      <c r="P136" s="1"/>
      <c r="Q136" s="4"/>
      <c r="R136" s="1"/>
      <c r="S136" s="1"/>
    </row>
    <row r="137" spans="3:19">
      <c r="C137" s="1"/>
      <c r="D137" s="2"/>
      <c r="E137" s="1"/>
      <c r="F137" s="1"/>
      <c r="G137" s="1"/>
      <c r="H137" s="1"/>
      <c r="I137" s="3"/>
      <c r="J137" s="1"/>
      <c r="K137" s="4"/>
      <c r="L137" s="1"/>
      <c r="M137" s="1"/>
      <c r="N137" s="1"/>
      <c r="O137" s="1"/>
      <c r="P137" s="1"/>
      <c r="Q137" s="4"/>
      <c r="R137" s="233" t="s">
        <v>123</v>
      </c>
      <c r="S137" s="232" t="s">
        <v>128</v>
      </c>
    </row>
  </sheetData>
  <mergeCells count="6">
    <mergeCell ref="C8:I8"/>
    <mergeCell ref="A1:K1"/>
    <mergeCell ref="A2:K2"/>
    <mergeCell ref="A3:K3"/>
    <mergeCell ref="A4:K4"/>
    <mergeCell ref="A5:K5"/>
  </mergeCells>
  <phoneticPr fontId="0" type="noConversion"/>
  <printOptions horizontalCentered="1"/>
  <pageMargins left="0.25" right="0.25" top="0.75" bottom="0.25" header="0.25" footer="0.5"/>
  <pageSetup scale="37" fitToHeight="5" orientation="landscape" r:id="rId1"/>
  <headerFooter alignWithMargins="0">
    <oddHeader xml:space="preserve">&amp;R&amp;16AEP - SPP Formula Rate
PSO TCOS - WS G
Page: &amp;P of &amp;N
</oddHeader>
    <oddFooter xml:space="preserve">&amp;C &amp;R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zoomScale="70" zoomScaleNormal="70" workbookViewId="0">
      <selection activeCell="I35" sqref="I35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"&amp;RIGHT(MID(CELL("filename",$A$1),FIND("]",CELL("filename",$A$1))+1,256),2)&amp;" of "&amp;COUNT('P.001:P.xyz - blank'!$P$3)-1</f>
        <v>PSO Project 27 of 28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275</v>
      </c>
      <c r="L5" s="119"/>
      <c r="M5" s="120"/>
      <c r="N5" s="121">
        <f>VLOOKUP(I10,C17:I72,5)</f>
        <v>552918.85124067403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276</v>
      </c>
      <c r="L6" s="125"/>
      <c r="M6" s="4"/>
      <c r="N6" s="126">
        <f>VLOOKUP(I10,C17:I72,6)</f>
        <v>552918.85124067403</v>
      </c>
      <c r="O6" s="1"/>
      <c r="P6" s="1"/>
    </row>
    <row r="7" spans="1:16" ht="13.5" thickBot="1">
      <c r="C7" s="127" t="s">
        <v>41</v>
      </c>
      <c r="D7" s="481" t="s">
        <v>326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/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43</v>
      </c>
      <c r="D9" s="229"/>
      <c r="E9" s="427" t="s">
        <v>325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4236000</v>
      </c>
      <c r="E10" s="64" t="s">
        <v>46</v>
      </c>
      <c r="F10" s="137"/>
      <c r="G10" s="139"/>
      <c r="H10" s="139"/>
      <c r="I10" s="140">
        <f>+PSO.WS.F.BPU.ATRR.Projected!L19</f>
        <v>2020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2019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3</v>
      </c>
      <c r="E12" s="141" t="s">
        <v>51</v>
      </c>
      <c r="F12" s="139"/>
      <c r="G12" s="7"/>
      <c r="H12" s="7"/>
      <c r="I12" s="145">
        <f>PSO.WS.F.BPU.ATRR.Projected!$F$81</f>
        <v>0.10800477690995318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42</v>
      </c>
      <c r="E13" s="141" t="s">
        <v>54</v>
      </c>
      <c r="F13" s="139"/>
      <c r="G13" s="7"/>
      <c r="H13" s="7"/>
      <c r="I13" s="145">
        <f>IF(G5="",I12,PSO.WS.F.BPU.ATRR.Projected!$F$80)</f>
        <v>0.10800477690995318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100857.14285714286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277</v>
      </c>
      <c r="H15" s="362" t="s">
        <v>278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2019</v>
      </c>
      <c r="D17" s="464">
        <v>0</v>
      </c>
      <c r="E17" s="467">
        <v>0</v>
      </c>
      <c r="F17" s="465">
        <v>4120000</v>
      </c>
      <c r="G17" s="467">
        <v>230012.66047295602</v>
      </c>
      <c r="H17" s="466">
        <v>230012.66047295602</v>
      </c>
      <c r="I17" s="160">
        <f t="shared" ref="I17:I72" si="0">H17-G17</f>
        <v>0</v>
      </c>
      <c r="J17" s="160"/>
      <c r="K17" s="337">
        <f>+G17</f>
        <v>230012.66047295602</v>
      </c>
      <c r="L17" s="161">
        <f t="shared" ref="L17" si="1">IF(K17&lt;&gt;0,+G17-K17,0)</f>
        <v>0</v>
      </c>
      <c r="M17" s="337">
        <f>+H17</f>
        <v>230012.66047295602</v>
      </c>
      <c r="N17" s="161">
        <f t="shared" ref="N17" si="2">IF(M17&lt;&gt;0,+H17-M17,0)</f>
        <v>0</v>
      </c>
      <c r="O17" s="162">
        <f t="shared" ref="O17" si="3">+N17-L17</f>
        <v>0</v>
      </c>
      <c r="P17" s="4"/>
    </row>
    <row r="18" spans="2:16">
      <c r="B18" s="9" t="str">
        <f>IF(D18=F17,"","IU")</f>
        <v>IU</v>
      </c>
      <c r="C18" s="157">
        <f>IF(D11="","-",+C17+1)</f>
        <v>2020</v>
      </c>
      <c r="D18" s="166">
        <f>IF(F17+SUM(E$17:E17)=D$10,F17,D$10-SUM(E$17:E17))</f>
        <v>4236000</v>
      </c>
      <c r="E18" s="164">
        <f t="shared" ref="E18:E72" si="4">IF(+I$14&lt;F17,I$14,D18)</f>
        <v>100857.14285714286</v>
      </c>
      <c r="F18" s="163">
        <f t="shared" ref="F18:F72" si="5">+D18-E18</f>
        <v>4135142.8571428573</v>
      </c>
      <c r="G18" s="165">
        <f t="shared" ref="G18:G72" si="6">(D18+F18)/2*I$12+E18</f>
        <v>552918.85124067403</v>
      </c>
      <c r="H18" s="147">
        <f t="shared" ref="H18:H72" si="7">+(D18+F18)/2*I$13+E18</f>
        <v>552918.85124067403</v>
      </c>
      <c r="I18" s="160">
        <f t="shared" si="0"/>
        <v>0</v>
      </c>
      <c r="J18" s="160"/>
      <c r="K18" s="335"/>
      <c r="L18" s="162">
        <f t="shared" ref="L18:L72" si="8">IF(K18&lt;&gt;0,+G18-K18,0)</f>
        <v>0</v>
      </c>
      <c r="M18" s="335"/>
      <c r="N18" s="162">
        <f t="shared" ref="N18:N72" si="9">IF(M18&lt;&gt;0,+H18-M18,0)</f>
        <v>0</v>
      </c>
      <c r="O18" s="162">
        <f t="shared" ref="O18:O72" si="10">+N18-L18</f>
        <v>0</v>
      </c>
      <c r="P18" s="4"/>
    </row>
    <row r="19" spans="2:16">
      <c r="B19" s="9" t="str">
        <f>IF(D19=F18,"","IU")</f>
        <v/>
      </c>
      <c r="C19" s="157">
        <f>IF(D11="","-",+C18+1)</f>
        <v>2021</v>
      </c>
      <c r="D19" s="166">
        <f>IF(F18+SUM(E$17:E18)=D$10,F18,D$10-SUM(E$17:E18))</f>
        <v>4135142.8571428573</v>
      </c>
      <c r="E19" s="164">
        <f t="shared" si="4"/>
        <v>100857.14285714286</v>
      </c>
      <c r="F19" s="163">
        <f t="shared" si="5"/>
        <v>4034285.7142857146</v>
      </c>
      <c r="G19" s="165">
        <f t="shared" si="6"/>
        <v>542025.79802661308</v>
      </c>
      <c r="H19" s="147">
        <f t="shared" si="7"/>
        <v>542025.79802661308</v>
      </c>
      <c r="I19" s="160">
        <f t="shared" si="0"/>
        <v>0</v>
      </c>
      <c r="J19" s="160"/>
      <c r="K19" s="335"/>
      <c r="L19" s="162">
        <f t="shared" si="8"/>
        <v>0</v>
      </c>
      <c r="M19" s="335"/>
      <c r="N19" s="162">
        <f t="shared" si="9"/>
        <v>0</v>
      </c>
      <c r="O19" s="162">
        <f t="shared" si="10"/>
        <v>0</v>
      </c>
      <c r="P19" s="4"/>
    </row>
    <row r="20" spans="2:16">
      <c r="B20" s="9" t="str">
        <f t="shared" ref="B20:B72" si="11">IF(D20=F19,"","IU")</f>
        <v/>
      </c>
      <c r="C20" s="157">
        <f>IF(D11="","-",+C19+1)</f>
        <v>2022</v>
      </c>
      <c r="D20" s="166">
        <f>IF(F19+SUM(E$17:E19)=D$10,F19,D$10-SUM(E$17:E19))</f>
        <v>4034285.7142857146</v>
      </c>
      <c r="E20" s="164">
        <f t="shared" si="4"/>
        <v>100857.14285714286</v>
      </c>
      <c r="F20" s="163">
        <f t="shared" si="5"/>
        <v>3933428.5714285718</v>
      </c>
      <c r="G20" s="165">
        <f t="shared" si="6"/>
        <v>531132.74481255212</v>
      </c>
      <c r="H20" s="147">
        <f t="shared" si="7"/>
        <v>531132.74481255212</v>
      </c>
      <c r="I20" s="160">
        <f t="shared" si="0"/>
        <v>0</v>
      </c>
      <c r="J20" s="160"/>
      <c r="K20" s="335"/>
      <c r="L20" s="162">
        <f t="shared" si="8"/>
        <v>0</v>
      </c>
      <c r="M20" s="335"/>
      <c r="N20" s="162">
        <f t="shared" si="9"/>
        <v>0</v>
      </c>
      <c r="O20" s="162">
        <f t="shared" si="10"/>
        <v>0</v>
      </c>
      <c r="P20" s="4"/>
    </row>
    <row r="21" spans="2:16">
      <c r="B21" s="9" t="str">
        <f t="shared" si="11"/>
        <v/>
      </c>
      <c r="C21" s="157">
        <f>IF(D11="","-",+C20+1)</f>
        <v>2023</v>
      </c>
      <c r="D21" s="166">
        <f>IF(F20+SUM(E$17:E20)=D$10,F20,D$10-SUM(E$17:E20))</f>
        <v>3933428.5714285718</v>
      </c>
      <c r="E21" s="164">
        <f t="shared" si="4"/>
        <v>100857.14285714286</v>
      </c>
      <c r="F21" s="163">
        <f t="shared" si="5"/>
        <v>3832571.4285714291</v>
      </c>
      <c r="G21" s="165">
        <f t="shared" si="6"/>
        <v>520239.6915984911</v>
      </c>
      <c r="H21" s="147">
        <f t="shared" si="7"/>
        <v>520239.6915984911</v>
      </c>
      <c r="I21" s="160">
        <f t="shared" si="0"/>
        <v>0</v>
      </c>
      <c r="J21" s="160"/>
      <c r="K21" s="335"/>
      <c r="L21" s="162">
        <f t="shared" si="8"/>
        <v>0</v>
      </c>
      <c r="M21" s="335"/>
      <c r="N21" s="162">
        <f t="shared" si="9"/>
        <v>0</v>
      </c>
      <c r="O21" s="162">
        <f t="shared" si="10"/>
        <v>0</v>
      </c>
      <c r="P21" s="4"/>
    </row>
    <row r="22" spans="2:16">
      <c r="B22" s="9" t="str">
        <f t="shared" si="11"/>
        <v/>
      </c>
      <c r="C22" s="157">
        <f>IF(D11="","-",+C21+1)</f>
        <v>2024</v>
      </c>
      <c r="D22" s="166">
        <f>IF(F21+SUM(E$17:E21)=D$10,F21,D$10-SUM(E$17:E21))</f>
        <v>3832571.4285714291</v>
      </c>
      <c r="E22" s="164">
        <f t="shared" si="4"/>
        <v>100857.14285714286</v>
      </c>
      <c r="F22" s="163">
        <f t="shared" si="5"/>
        <v>3731714.2857142864</v>
      </c>
      <c r="G22" s="165">
        <f t="shared" si="6"/>
        <v>509346.63838443009</v>
      </c>
      <c r="H22" s="147">
        <f t="shared" si="7"/>
        <v>509346.63838443009</v>
      </c>
      <c r="I22" s="160">
        <f t="shared" si="0"/>
        <v>0</v>
      </c>
      <c r="J22" s="160"/>
      <c r="K22" s="335"/>
      <c r="L22" s="162">
        <f t="shared" si="8"/>
        <v>0</v>
      </c>
      <c r="M22" s="335"/>
      <c r="N22" s="162">
        <f t="shared" si="9"/>
        <v>0</v>
      </c>
      <c r="O22" s="162">
        <f t="shared" si="10"/>
        <v>0</v>
      </c>
      <c r="P22" s="4"/>
    </row>
    <row r="23" spans="2:16">
      <c r="B23" s="9" t="str">
        <f t="shared" si="11"/>
        <v/>
      </c>
      <c r="C23" s="157">
        <f>IF(D11="","-",+C22+1)</f>
        <v>2025</v>
      </c>
      <c r="D23" s="166">
        <f>IF(F22+SUM(E$17:E22)=D$10,F22,D$10-SUM(E$17:E22))</f>
        <v>3731714.2857142864</v>
      </c>
      <c r="E23" s="164">
        <f t="shared" si="4"/>
        <v>100857.14285714286</v>
      </c>
      <c r="F23" s="163">
        <f t="shared" si="5"/>
        <v>3630857.1428571437</v>
      </c>
      <c r="G23" s="165">
        <f t="shared" si="6"/>
        <v>498453.58517036913</v>
      </c>
      <c r="H23" s="147">
        <f t="shared" si="7"/>
        <v>498453.58517036913</v>
      </c>
      <c r="I23" s="160">
        <f t="shared" si="0"/>
        <v>0</v>
      </c>
      <c r="J23" s="160"/>
      <c r="K23" s="335"/>
      <c r="L23" s="162">
        <f t="shared" si="8"/>
        <v>0</v>
      </c>
      <c r="M23" s="335"/>
      <c r="N23" s="162">
        <f t="shared" si="9"/>
        <v>0</v>
      </c>
      <c r="O23" s="162">
        <f t="shared" si="10"/>
        <v>0</v>
      </c>
      <c r="P23" s="4"/>
    </row>
    <row r="24" spans="2:16">
      <c r="B24" s="9" t="str">
        <f t="shared" si="11"/>
        <v/>
      </c>
      <c r="C24" s="157">
        <f>IF(D11="","-",+C23+1)</f>
        <v>2026</v>
      </c>
      <c r="D24" s="166">
        <f>IF(F23+SUM(E$17:E23)=D$10,F23,D$10-SUM(E$17:E23))</f>
        <v>3630857.1428571437</v>
      </c>
      <c r="E24" s="164">
        <f t="shared" si="4"/>
        <v>100857.14285714286</v>
      </c>
      <c r="F24" s="163">
        <f t="shared" si="5"/>
        <v>3530000.0000000009</v>
      </c>
      <c r="G24" s="165">
        <f t="shared" si="6"/>
        <v>487560.53195630817</v>
      </c>
      <c r="H24" s="147">
        <f t="shared" si="7"/>
        <v>487560.53195630817</v>
      </c>
      <c r="I24" s="160">
        <f t="shared" si="0"/>
        <v>0</v>
      </c>
      <c r="J24" s="160"/>
      <c r="K24" s="335"/>
      <c r="L24" s="162">
        <f t="shared" si="8"/>
        <v>0</v>
      </c>
      <c r="M24" s="335"/>
      <c r="N24" s="162">
        <f t="shared" si="9"/>
        <v>0</v>
      </c>
      <c r="O24" s="162">
        <f t="shared" si="10"/>
        <v>0</v>
      </c>
      <c r="P24" s="4"/>
    </row>
    <row r="25" spans="2:16">
      <c r="B25" s="9" t="str">
        <f t="shared" si="11"/>
        <v/>
      </c>
      <c r="C25" s="157">
        <f>IF(D11="","-",+C24+1)</f>
        <v>2027</v>
      </c>
      <c r="D25" s="166">
        <f>IF(F24+SUM(E$17:E24)=D$10,F24,D$10-SUM(E$17:E24))</f>
        <v>3530000.0000000009</v>
      </c>
      <c r="E25" s="164">
        <f t="shared" si="4"/>
        <v>100857.14285714286</v>
      </c>
      <c r="F25" s="163">
        <f t="shared" si="5"/>
        <v>3429142.8571428582</v>
      </c>
      <c r="G25" s="165">
        <f t="shared" si="6"/>
        <v>476667.47874224716</v>
      </c>
      <c r="H25" s="147">
        <f t="shared" si="7"/>
        <v>476667.47874224716</v>
      </c>
      <c r="I25" s="160">
        <f t="shared" si="0"/>
        <v>0</v>
      </c>
      <c r="J25" s="160"/>
      <c r="K25" s="335"/>
      <c r="L25" s="162">
        <f t="shared" si="8"/>
        <v>0</v>
      </c>
      <c r="M25" s="335"/>
      <c r="N25" s="162">
        <f t="shared" si="9"/>
        <v>0</v>
      </c>
      <c r="O25" s="162">
        <f t="shared" si="10"/>
        <v>0</v>
      </c>
      <c r="P25" s="4"/>
    </row>
    <row r="26" spans="2:16">
      <c r="B26" s="9" t="str">
        <f t="shared" si="11"/>
        <v/>
      </c>
      <c r="C26" s="157">
        <f>IF(D11="","-",+C25+1)</f>
        <v>2028</v>
      </c>
      <c r="D26" s="166">
        <f>IF(F25+SUM(E$17:E25)=D$10,F25,D$10-SUM(E$17:E25))</f>
        <v>3429142.8571428582</v>
      </c>
      <c r="E26" s="164">
        <f t="shared" si="4"/>
        <v>100857.14285714286</v>
      </c>
      <c r="F26" s="163">
        <f t="shared" si="5"/>
        <v>3328285.7142857155</v>
      </c>
      <c r="G26" s="165">
        <f t="shared" si="6"/>
        <v>465774.4255281862</v>
      </c>
      <c r="H26" s="147">
        <f t="shared" si="7"/>
        <v>465774.4255281862</v>
      </c>
      <c r="I26" s="160">
        <f t="shared" si="0"/>
        <v>0</v>
      </c>
      <c r="J26" s="160"/>
      <c r="K26" s="335"/>
      <c r="L26" s="162">
        <f t="shared" si="8"/>
        <v>0</v>
      </c>
      <c r="M26" s="335"/>
      <c r="N26" s="162">
        <f t="shared" si="9"/>
        <v>0</v>
      </c>
      <c r="O26" s="162">
        <f t="shared" si="10"/>
        <v>0</v>
      </c>
      <c r="P26" s="4"/>
    </row>
    <row r="27" spans="2:16">
      <c r="B27" s="9" t="str">
        <f t="shared" si="11"/>
        <v/>
      </c>
      <c r="C27" s="157">
        <f>IF(D11="","-",+C26+1)</f>
        <v>2029</v>
      </c>
      <c r="D27" s="166">
        <f>IF(F26+SUM(E$17:E26)=D$10,F26,D$10-SUM(E$17:E26))</f>
        <v>3328285.7142857155</v>
      </c>
      <c r="E27" s="164">
        <f t="shared" si="4"/>
        <v>100857.14285714286</v>
      </c>
      <c r="F27" s="163">
        <f t="shared" si="5"/>
        <v>3227428.5714285728</v>
      </c>
      <c r="G27" s="165">
        <f t="shared" si="6"/>
        <v>454881.37231412524</v>
      </c>
      <c r="H27" s="147">
        <f t="shared" si="7"/>
        <v>454881.37231412524</v>
      </c>
      <c r="I27" s="160">
        <f t="shared" si="0"/>
        <v>0</v>
      </c>
      <c r="J27" s="160"/>
      <c r="K27" s="335"/>
      <c r="L27" s="162">
        <f t="shared" si="8"/>
        <v>0</v>
      </c>
      <c r="M27" s="335"/>
      <c r="N27" s="162">
        <f t="shared" si="9"/>
        <v>0</v>
      </c>
      <c r="O27" s="162">
        <f t="shared" si="10"/>
        <v>0</v>
      </c>
      <c r="P27" s="4"/>
    </row>
    <row r="28" spans="2:16">
      <c r="B28" s="9" t="str">
        <f t="shared" si="11"/>
        <v/>
      </c>
      <c r="C28" s="157">
        <f>IF(D11="","-",+C27+1)</f>
        <v>2030</v>
      </c>
      <c r="D28" s="166">
        <f>IF(F27+SUM(E$17:E27)=D$10,F27,D$10-SUM(E$17:E27))</f>
        <v>3227428.5714285728</v>
      </c>
      <c r="E28" s="164">
        <f t="shared" si="4"/>
        <v>100857.14285714286</v>
      </c>
      <c r="F28" s="163">
        <f t="shared" si="5"/>
        <v>3126571.42857143</v>
      </c>
      <c r="G28" s="165">
        <f t="shared" si="6"/>
        <v>443988.31910006423</v>
      </c>
      <c r="H28" s="147">
        <f t="shared" si="7"/>
        <v>443988.31910006423</v>
      </c>
      <c r="I28" s="160">
        <f t="shared" si="0"/>
        <v>0</v>
      </c>
      <c r="J28" s="160"/>
      <c r="K28" s="335"/>
      <c r="L28" s="162">
        <f t="shared" si="8"/>
        <v>0</v>
      </c>
      <c r="M28" s="335"/>
      <c r="N28" s="162">
        <f t="shared" si="9"/>
        <v>0</v>
      </c>
      <c r="O28" s="162">
        <f t="shared" si="10"/>
        <v>0</v>
      </c>
      <c r="P28" s="4"/>
    </row>
    <row r="29" spans="2:16">
      <c r="B29" s="9" t="str">
        <f t="shared" si="11"/>
        <v/>
      </c>
      <c r="C29" s="157">
        <f>IF(D11="","-",+C28+1)</f>
        <v>2031</v>
      </c>
      <c r="D29" s="166">
        <f>IF(F28+SUM(E$17:E28)=D$10,F28,D$10-SUM(E$17:E28))</f>
        <v>3126571.42857143</v>
      </c>
      <c r="E29" s="164">
        <f t="shared" si="4"/>
        <v>100857.14285714286</v>
      </c>
      <c r="F29" s="163">
        <f t="shared" si="5"/>
        <v>3025714.2857142873</v>
      </c>
      <c r="G29" s="165">
        <f t="shared" si="6"/>
        <v>433095.26588600327</v>
      </c>
      <c r="H29" s="147">
        <f t="shared" si="7"/>
        <v>433095.26588600327</v>
      </c>
      <c r="I29" s="160">
        <f t="shared" si="0"/>
        <v>0</v>
      </c>
      <c r="J29" s="160"/>
      <c r="K29" s="335"/>
      <c r="L29" s="162">
        <f t="shared" si="8"/>
        <v>0</v>
      </c>
      <c r="M29" s="335"/>
      <c r="N29" s="162">
        <f t="shared" si="9"/>
        <v>0</v>
      </c>
      <c r="O29" s="162">
        <f t="shared" si="10"/>
        <v>0</v>
      </c>
      <c r="P29" s="4"/>
    </row>
    <row r="30" spans="2:16">
      <c r="B30" s="9" t="str">
        <f t="shared" si="11"/>
        <v/>
      </c>
      <c r="C30" s="157">
        <f>IF(D11="","-",+C29+1)</f>
        <v>2032</v>
      </c>
      <c r="D30" s="166">
        <f>IF(F29+SUM(E$17:E29)=D$10,F29,D$10-SUM(E$17:E29))</f>
        <v>3025714.2857142873</v>
      </c>
      <c r="E30" s="164">
        <f t="shared" si="4"/>
        <v>100857.14285714286</v>
      </c>
      <c r="F30" s="163">
        <f t="shared" si="5"/>
        <v>2924857.1428571446</v>
      </c>
      <c r="G30" s="165">
        <f t="shared" si="6"/>
        <v>422202.21267194231</v>
      </c>
      <c r="H30" s="147">
        <f t="shared" si="7"/>
        <v>422202.21267194231</v>
      </c>
      <c r="I30" s="160">
        <f t="shared" si="0"/>
        <v>0</v>
      </c>
      <c r="J30" s="160"/>
      <c r="K30" s="335"/>
      <c r="L30" s="162">
        <f t="shared" si="8"/>
        <v>0</v>
      </c>
      <c r="M30" s="335"/>
      <c r="N30" s="162">
        <f t="shared" si="9"/>
        <v>0</v>
      </c>
      <c r="O30" s="162">
        <f t="shared" si="10"/>
        <v>0</v>
      </c>
      <c r="P30" s="4"/>
    </row>
    <row r="31" spans="2:16">
      <c r="B31" s="9" t="str">
        <f t="shared" si="11"/>
        <v/>
      </c>
      <c r="C31" s="157">
        <f>IF(D11="","-",+C30+1)</f>
        <v>2033</v>
      </c>
      <c r="D31" s="166">
        <f>IF(F30+SUM(E$17:E30)=D$10,F30,D$10-SUM(E$17:E30))</f>
        <v>2924857.1428571446</v>
      </c>
      <c r="E31" s="164">
        <f t="shared" si="4"/>
        <v>100857.14285714286</v>
      </c>
      <c r="F31" s="163">
        <f t="shared" si="5"/>
        <v>2824000.0000000019</v>
      </c>
      <c r="G31" s="165">
        <f t="shared" si="6"/>
        <v>411309.15945788129</v>
      </c>
      <c r="H31" s="147">
        <f t="shared" si="7"/>
        <v>411309.15945788129</v>
      </c>
      <c r="I31" s="160">
        <f t="shared" si="0"/>
        <v>0</v>
      </c>
      <c r="J31" s="160"/>
      <c r="K31" s="335"/>
      <c r="L31" s="162">
        <f t="shared" si="8"/>
        <v>0</v>
      </c>
      <c r="M31" s="335"/>
      <c r="N31" s="162">
        <f t="shared" si="9"/>
        <v>0</v>
      </c>
      <c r="O31" s="162">
        <f t="shared" si="10"/>
        <v>0</v>
      </c>
      <c r="P31" s="4"/>
    </row>
    <row r="32" spans="2:16">
      <c r="B32" s="9" t="str">
        <f t="shared" si="11"/>
        <v/>
      </c>
      <c r="C32" s="157">
        <f>IF(D11="","-",+C31+1)</f>
        <v>2034</v>
      </c>
      <c r="D32" s="166">
        <f>IF(F31+SUM(E$17:E31)=D$10,F31,D$10-SUM(E$17:E31))</f>
        <v>2824000.0000000019</v>
      </c>
      <c r="E32" s="164">
        <f t="shared" si="4"/>
        <v>100857.14285714286</v>
      </c>
      <c r="F32" s="163">
        <f t="shared" si="5"/>
        <v>2723142.8571428591</v>
      </c>
      <c r="G32" s="165">
        <f t="shared" si="6"/>
        <v>400416.10624382034</v>
      </c>
      <c r="H32" s="147">
        <f t="shared" si="7"/>
        <v>400416.10624382034</v>
      </c>
      <c r="I32" s="160">
        <f t="shared" si="0"/>
        <v>0</v>
      </c>
      <c r="J32" s="160"/>
      <c r="K32" s="335"/>
      <c r="L32" s="162">
        <f t="shared" si="8"/>
        <v>0</v>
      </c>
      <c r="M32" s="335"/>
      <c r="N32" s="162">
        <f t="shared" si="9"/>
        <v>0</v>
      </c>
      <c r="O32" s="162">
        <f t="shared" si="10"/>
        <v>0</v>
      </c>
      <c r="P32" s="4"/>
    </row>
    <row r="33" spans="2:16">
      <c r="B33" s="9" t="str">
        <f t="shared" si="11"/>
        <v/>
      </c>
      <c r="C33" s="157">
        <f>IF(D11="","-",+C32+1)</f>
        <v>2035</v>
      </c>
      <c r="D33" s="166">
        <f>IF(F32+SUM(E$17:E32)=D$10,F32,D$10-SUM(E$17:E32))</f>
        <v>2723142.8571428591</v>
      </c>
      <c r="E33" s="164">
        <f t="shared" si="4"/>
        <v>100857.14285714286</v>
      </c>
      <c r="F33" s="163">
        <f t="shared" si="5"/>
        <v>2622285.7142857164</v>
      </c>
      <c r="G33" s="165">
        <f t="shared" si="6"/>
        <v>389523.05302975938</v>
      </c>
      <c r="H33" s="147">
        <f t="shared" si="7"/>
        <v>389523.05302975938</v>
      </c>
      <c r="I33" s="160">
        <f t="shared" si="0"/>
        <v>0</v>
      </c>
      <c r="J33" s="160"/>
      <c r="K33" s="335"/>
      <c r="L33" s="162">
        <f t="shared" si="8"/>
        <v>0</v>
      </c>
      <c r="M33" s="335"/>
      <c r="N33" s="162">
        <f t="shared" si="9"/>
        <v>0</v>
      </c>
      <c r="O33" s="162">
        <f t="shared" si="10"/>
        <v>0</v>
      </c>
      <c r="P33" s="4"/>
    </row>
    <row r="34" spans="2:16">
      <c r="B34" s="9" t="str">
        <f t="shared" si="11"/>
        <v/>
      </c>
      <c r="C34" s="157">
        <f>IF(D11="","-",+C33+1)</f>
        <v>2036</v>
      </c>
      <c r="D34" s="166">
        <f>IF(F33+SUM(E$17:E33)=D$10,F33,D$10-SUM(E$17:E33))</f>
        <v>2622285.7142857164</v>
      </c>
      <c r="E34" s="164">
        <f t="shared" si="4"/>
        <v>100857.14285714286</v>
      </c>
      <c r="F34" s="163">
        <f t="shared" si="5"/>
        <v>2521428.5714285737</v>
      </c>
      <c r="G34" s="165">
        <f t="shared" si="6"/>
        <v>378629.99981569836</v>
      </c>
      <c r="H34" s="147">
        <f t="shared" si="7"/>
        <v>378629.99981569836</v>
      </c>
      <c r="I34" s="160">
        <f t="shared" si="0"/>
        <v>0</v>
      </c>
      <c r="J34" s="160"/>
      <c r="K34" s="335"/>
      <c r="L34" s="162">
        <f t="shared" si="8"/>
        <v>0</v>
      </c>
      <c r="M34" s="335"/>
      <c r="N34" s="162">
        <f t="shared" si="9"/>
        <v>0</v>
      </c>
      <c r="O34" s="162">
        <f t="shared" si="10"/>
        <v>0</v>
      </c>
      <c r="P34" s="4"/>
    </row>
    <row r="35" spans="2:16">
      <c r="B35" s="9" t="str">
        <f t="shared" si="11"/>
        <v/>
      </c>
      <c r="C35" s="157">
        <f>IF(D11="","-",+C34+1)</f>
        <v>2037</v>
      </c>
      <c r="D35" s="166">
        <f>IF(F34+SUM(E$17:E34)=D$10,F34,D$10-SUM(E$17:E34))</f>
        <v>2521428.5714285737</v>
      </c>
      <c r="E35" s="164">
        <f t="shared" si="4"/>
        <v>100857.14285714286</v>
      </c>
      <c r="F35" s="163">
        <f t="shared" si="5"/>
        <v>2420571.428571431</v>
      </c>
      <c r="G35" s="165">
        <f t="shared" si="6"/>
        <v>367736.94660163741</v>
      </c>
      <c r="H35" s="147">
        <f t="shared" si="7"/>
        <v>367736.94660163741</v>
      </c>
      <c r="I35" s="160">
        <f t="shared" si="0"/>
        <v>0</v>
      </c>
      <c r="J35" s="160"/>
      <c r="K35" s="335"/>
      <c r="L35" s="162">
        <f t="shared" si="8"/>
        <v>0</v>
      </c>
      <c r="M35" s="335"/>
      <c r="N35" s="162">
        <f t="shared" si="9"/>
        <v>0</v>
      </c>
      <c r="O35" s="162">
        <f t="shared" si="10"/>
        <v>0</v>
      </c>
      <c r="P35" s="4"/>
    </row>
    <row r="36" spans="2:16">
      <c r="B36" s="9" t="str">
        <f t="shared" si="11"/>
        <v/>
      </c>
      <c r="C36" s="157">
        <f>IF(D11="","-",+C35+1)</f>
        <v>2038</v>
      </c>
      <c r="D36" s="166">
        <f>IF(F35+SUM(E$17:E35)=D$10,F35,D$10-SUM(E$17:E35))</f>
        <v>2420571.428571431</v>
      </c>
      <c r="E36" s="164">
        <f t="shared" si="4"/>
        <v>100857.14285714286</v>
      </c>
      <c r="F36" s="163">
        <f t="shared" si="5"/>
        <v>2319714.2857142882</v>
      </c>
      <c r="G36" s="165">
        <f t="shared" si="6"/>
        <v>356843.89338757645</v>
      </c>
      <c r="H36" s="147">
        <f t="shared" si="7"/>
        <v>356843.89338757645</v>
      </c>
      <c r="I36" s="160">
        <f t="shared" si="0"/>
        <v>0</v>
      </c>
      <c r="J36" s="160"/>
      <c r="K36" s="335"/>
      <c r="L36" s="162">
        <f t="shared" si="8"/>
        <v>0</v>
      </c>
      <c r="M36" s="335"/>
      <c r="N36" s="162">
        <f t="shared" si="9"/>
        <v>0</v>
      </c>
      <c r="O36" s="162">
        <f t="shared" si="10"/>
        <v>0</v>
      </c>
      <c r="P36" s="4"/>
    </row>
    <row r="37" spans="2:16">
      <c r="B37" s="9" t="str">
        <f t="shared" si="11"/>
        <v/>
      </c>
      <c r="C37" s="157">
        <f>IF(D11="","-",+C36+1)</f>
        <v>2039</v>
      </c>
      <c r="D37" s="166">
        <f>IF(F36+SUM(E$17:E36)=D$10,F36,D$10-SUM(E$17:E36))</f>
        <v>2319714.2857142882</v>
      </c>
      <c r="E37" s="164">
        <f t="shared" si="4"/>
        <v>100857.14285714286</v>
      </c>
      <c r="F37" s="163">
        <f t="shared" si="5"/>
        <v>2218857.1428571455</v>
      </c>
      <c r="G37" s="165">
        <f t="shared" si="6"/>
        <v>345950.84017351543</v>
      </c>
      <c r="H37" s="147">
        <f t="shared" si="7"/>
        <v>345950.84017351543</v>
      </c>
      <c r="I37" s="160">
        <f t="shared" si="0"/>
        <v>0</v>
      </c>
      <c r="J37" s="160"/>
      <c r="K37" s="335"/>
      <c r="L37" s="162">
        <f t="shared" si="8"/>
        <v>0</v>
      </c>
      <c r="M37" s="335"/>
      <c r="N37" s="162">
        <f t="shared" si="9"/>
        <v>0</v>
      </c>
      <c r="O37" s="162">
        <f t="shared" si="10"/>
        <v>0</v>
      </c>
      <c r="P37" s="4"/>
    </row>
    <row r="38" spans="2:16">
      <c r="B38" s="9" t="str">
        <f t="shared" si="11"/>
        <v/>
      </c>
      <c r="C38" s="157">
        <f>IF(D11="","-",+C37+1)</f>
        <v>2040</v>
      </c>
      <c r="D38" s="166">
        <f>IF(F37+SUM(E$17:E37)=D$10,F37,D$10-SUM(E$17:E37))</f>
        <v>2218857.1428571455</v>
      </c>
      <c r="E38" s="164">
        <f t="shared" si="4"/>
        <v>100857.14285714286</v>
      </c>
      <c r="F38" s="163">
        <f t="shared" si="5"/>
        <v>2118000.0000000028</v>
      </c>
      <c r="G38" s="165">
        <f t="shared" si="6"/>
        <v>335057.78695945448</v>
      </c>
      <c r="H38" s="147">
        <f t="shared" si="7"/>
        <v>335057.78695945448</v>
      </c>
      <c r="I38" s="160">
        <f t="shared" si="0"/>
        <v>0</v>
      </c>
      <c r="J38" s="160"/>
      <c r="K38" s="335"/>
      <c r="L38" s="162">
        <f t="shared" si="8"/>
        <v>0</v>
      </c>
      <c r="M38" s="335"/>
      <c r="N38" s="162">
        <f t="shared" si="9"/>
        <v>0</v>
      </c>
      <c r="O38" s="162">
        <f t="shared" si="10"/>
        <v>0</v>
      </c>
      <c r="P38" s="4"/>
    </row>
    <row r="39" spans="2:16">
      <c r="B39" s="9" t="str">
        <f t="shared" si="11"/>
        <v/>
      </c>
      <c r="C39" s="157">
        <f>IF(D11="","-",+C38+1)</f>
        <v>2041</v>
      </c>
      <c r="D39" s="166">
        <f>IF(F38+SUM(E$17:E38)=D$10,F38,D$10-SUM(E$17:E38))</f>
        <v>2118000.0000000028</v>
      </c>
      <c r="E39" s="164">
        <f t="shared" si="4"/>
        <v>100857.14285714286</v>
      </c>
      <c r="F39" s="163">
        <f t="shared" si="5"/>
        <v>2017142.8571428598</v>
      </c>
      <c r="G39" s="165">
        <f t="shared" si="6"/>
        <v>324164.73374539352</v>
      </c>
      <c r="H39" s="147">
        <f t="shared" si="7"/>
        <v>324164.73374539352</v>
      </c>
      <c r="I39" s="160">
        <f t="shared" si="0"/>
        <v>0</v>
      </c>
      <c r="J39" s="160"/>
      <c r="K39" s="335"/>
      <c r="L39" s="162">
        <f t="shared" si="8"/>
        <v>0</v>
      </c>
      <c r="M39" s="335"/>
      <c r="N39" s="162">
        <f t="shared" si="9"/>
        <v>0</v>
      </c>
      <c r="O39" s="162">
        <f t="shared" si="10"/>
        <v>0</v>
      </c>
      <c r="P39" s="4"/>
    </row>
    <row r="40" spans="2:16">
      <c r="B40" s="9" t="str">
        <f t="shared" si="11"/>
        <v/>
      </c>
      <c r="C40" s="157">
        <f>IF(D11="","-",+C39+1)</f>
        <v>2042</v>
      </c>
      <c r="D40" s="166">
        <f>IF(F39+SUM(E$17:E39)=D$10,F39,D$10-SUM(E$17:E39))</f>
        <v>2017142.8571428598</v>
      </c>
      <c r="E40" s="164">
        <f t="shared" si="4"/>
        <v>100857.14285714286</v>
      </c>
      <c r="F40" s="163">
        <f t="shared" si="5"/>
        <v>1916285.7142857169</v>
      </c>
      <c r="G40" s="165">
        <f t="shared" si="6"/>
        <v>313271.6805313325</v>
      </c>
      <c r="H40" s="147">
        <f t="shared" si="7"/>
        <v>313271.6805313325</v>
      </c>
      <c r="I40" s="160">
        <f t="shared" si="0"/>
        <v>0</v>
      </c>
      <c r="J40" s="160"/>
      <c r="K40" s="335"/>
      <c r="L40" s="162">
        <f t="shared" si="8"/>
        <v>0</v>
      </c>
      <c r="M40" s="335"/>
      <c r="N40" s="162">
        <f t="shared" si="9"/>
        <v>0</v>
      </c>
      <c r="O40" s="162">
        <f t="shared" si="10"/>
        <v>0</v>
      </c>
      <c r="P40" s="4"/>
    </row>
    <row r="41" spans="2:16">
      <c r="B41" s="9" t="str">
        <f t="shared" si="11"/>
        <v/>
      </c>
      <c r="C41" s="157">
        <f>IF(D11="","-",+C40+1)</f>
        <v>2043</v>
      </c>
      <c r="D41" s="166">
        <f>IF(F40+SUM(E$17:E40)=D$10,F40,D$10-SUM(E$17:E40))</f>
        <v>1916285.7142857169</v>
      </c>
      <c r="E41" s="164">
        <f t="shared" si="4"/>
        <v>100857.14285714286</v>
      </c>
      <c r="F41" s="163">
        <f t="shared" si="5"/>
        <v>1815428.5714285739</v>
      </c>
      <c r="G41" s="165">
        <f t="shared" si="6"/>
        <v>302378.62731727149</v>
      </c>
      <c r="H41" s="147">
        <f t="shared" si="7"/>
        <v>302378.62731727149</v>
      </c>
      <c r="I41" s="160">
        <f t="shared" si="0"/>
        <v>0</v>
      </c>
      <c r="J41" s="160"/>
      <c r="K41" s="335"/>
      <c r="L41" s="162">
        <f t="shared" si="8"/>
        <v>0</v>
      </c>
      <c r="M41" s="335"/>
      <c r="N41" s="162">
        <f t="shared" si="9"/>
        <v>0</v>
      </c>
      <c r="O41" s="162">
        <f t="shared" si="10"/>
        <v>0</v>
      </c>
      <c r="P41" s="4"/>
    </row>
    <row r="42" spans="2:16">
      <c r="B42" s="9" t="str">
        <f t="shared" si="11"/>
        <v/>
      </c>
      <c r="C42" s="157">
        <f>IF(D11="","-",+C41+1)</f>
        <v>2044</v>
      </c>
      <c r="D42" s="166">
        <f>IF(F41+SUM(E$17:E41)=D$10,F41,D$10-SUM(E$17:E41))</f>
        <v>1815428.5714285739</v>
      </c>
      <c r="E42" s="164">
        <f t="shared" si="4"/>
        <v>100857.14285714286</v>
      </c>
      <c r="F42" s="163">
        <f t="shared" si="5"/>
        <v>1714571.428571431</v>
      </c>
      <c r="G42" s="165">
        <f t="shared" si="6"/>
        <v>291485.57410321047</v>
      </c>
      <c r="H42" s="147">
        <f t="shared" si="7"/>
        <v>291485.57410321047</v>
      </c>
      <c r="I42" s="160">
        <f t="shared" si="0"/>
        <v>0</v>
      </c>
      <c r="J42" s="160"/>
      <c r="K42" s="335"/>
      <c r="L42" s="162">
        <f t="shared" si="8"/>
        <v>0</v>
      </c>
      <c r="M42" s="335"/>
      <c r="N42" s="162">
        <f t="shared" si="9"/>
        <v>0</v>
      </c>
      <c r="O42" s="162">
        <f t="shared" si="10"/>
        <v>0</v>
      </c>
      <c r="P42" s="4"/>
    </row>
    <row r="43" spans="2:16">
      <c r="B43" s="9" t="str">
        <f t="shared" si="11"/>
        <v/>
      </c>
      <c r="C43" s="157">
        <f>IF(D11="","-",+C42+1)</f>
        <v>2045</v>
      </c>
      <c r="D43" s="166">
        <f>IF(F42+SUM(E$17:E42)=D$10,F42,D$10-SUM(E$17:E42))</f>
        <v>1714571.428571431</v>
      </c>
      <c r="E43" s="164">
        <f t="shared" si="4"/>
        <v>100857.14285714286</v>
      </c>
      <c r="F43" s="163">
        <f t="shared" si="5"/>
        <v>1613714.285714288</v>
      </c>
      <c r="G43" s="165">
        <f t="shared" si="6"/>
        <v>280592.52088914951</v>
      </c>
      <c r="H43" s="147">
        <f t="shared" si="7"/>
        <v>280592.52088914951</v>
      </c>
      <c r="I43" s="160">
        <f t="shared" si="0"/>
        <v>0</v>
      </c>
      <c r="J43" s="160"/>
      <c r="K43" s="335"/>
      <c r="L43" s="162">
        <f t="shared" si="8"/>
        <v>0</v>
      </c>
      <c r="M43" s="335"/>
      <c r="N43" s="162">
        <f t="shared" si="9"/>
        <v>0</v>
      </c>
      <c r="O43" s="162">
        <f t="shared" si="10"/>
        <v>0</v>
      </c>
      <c r="P43" s="4"/>
    </row>
    <row r="44" spans="2:16">
      <c r="B44" s="9" t="str">
        <f t="shared" si="11"/>
        <v/>
      </c>
      <c r="C44" s="157">
        <f>IF(D11="","-",+C43+1)</f>
        <v>2046</v>
      </c>
      <c r="D44" s="166">
        <f>IF(F43+SUM(E$17:E43)=D$10,F43,D$10-SUM(E$17:E43))</f>
        <v>1613714.285714288</v>
      </c>
      <c r="E44" s="164">
        <f t="shared" si="4"/>
        <v>100857.14285714286</v>
      </c>
      <c r="F44" s="163">
        <f t="shared" si="5"/>
        <v>1512857.1428571451</v>
      </c>
      <c r="G44" s="165">
        <f t="shared" si="6"/>
        <v>269699.46767508844</v>
      </c>
      <c r="H44" s="147">
        <f t="shared" si="7"/>
        <v>269699.46767508844</v>
      </c>
      <c r="I44" s="160">
        <f t="shared" si="0"/>
        <v>0</v>
      </c>
      <c r="J44" s="160"/>
      <c r="K44" s="335"/>
      <c r="L44" s="162">
        <f t="shared" si="8"/>
        <v>0</v>
      </c>
      <c r="M44" s="335"/>
      <c r="N44" s="162">
        <f t="shared" si="9"/>
        <v>0</v>
      </c>
      <c r="O44" s="162">
        <f t="shared" si="10"/>
        <v>0</v>
      </c>
      <c r="P44" s="4"/>
    </row>
    <row r="45" spans="2:16">
      <c r="B45" s="9" t="str">
        <f t="shared" si="11"/>
        <v/>
      </c>
      <c r="C45" s="157">
        <f>IF(D11="","-",+C44+1)</f>
        <v>2047</v>
      </c>
      <c r="D45" s="166">
        <f>IF(F44+SUM(E$17:E44)=D$10,F44,D$10-SUM(E$17:E44))</f>
        <v>1512857.1428571451</v>
      </c>
      <c r="E45" s="164">
        <f t="shared" si="4"/>
        <v>100857.14285714286</v>
      </c>
      <c r="F45" s="163">
        <f t="shared" si="5"/>
        <v>1412000.0000000021</v>
      </c>
      <c r="G45" s="165">
        <f t="shared" si="6"/>
        <v>258806.41446102748</v>
      </c>
      <c r="H45" s="147">
        <f t="shared" si="7"/>
        <v>258806.41446102748</v>
      </c>
      <c r="I45" s="160">
        <f t="shared" si="0"/>
        <v>0</v>
      </c>
      <c r="J45" s="160"/>
      <c r="K45" s="335"/>
      <c r="L45" s="162">
        <f t="shared" si="8"/>
        <v>0</v>
      </c>
      <c r="M45" s="335"/>
      <c r="N45" s="162">
        <f t="shared" si="9"/>
        <v>0</v>
      </c>
      <c r="O45" s="162">
        <f t="shared" si="10"/>
        <v>0</v>
      </c>
      <c r="P45" s="4"/>
    </row>
    <row r="46" spans="2:16">
      <c r="B46" s="9" t="str">
        <f t="shared" si="11"/>
        <v/>
      </c>
      <c r="C46" s="157">
        <f>IF(D11="","-",+C45+1)</f>
        <v>2048</v>
      </c>
      <c r="D46" s="166">
        <f>IF(F45+SUM(E$17:E45)=D$10,F45,D$10-SUM(E$17:E45))</f>
        <v>1412000.0000000021</v>
      </c>
      <c r="E46" s="164">
        <f t="shared" si="4"/>
        <v>100857.14285714286</v>
      </c>
      <c r="F46" s="163">
        <f t="shared" si="5"/>
        <v>1311142.8571428591</v>
      </c>
      <c r="G46" s="165">
        <f t="shared" si="6"/>
        <v>247913.36124696647</v>
      </c>
      <c r="H46" s="147">
        <f t="shared" si="7"/>
        <v>247913.36124696647</v>
      </c>
      <c r="I46" s="160">
        <f t="shared" si="0"/>
        <v>0</v>
      </c>
      <c r="J46" s="160"/>
      <c r="K46" s="335"/>
      <c r="L46" s="162">
        <f t="shared" si="8"/>
        <v>0</v>
      </c>
      <c r="M46" s="335"/>
      <c r="N46" s="162">
        <f t="shared" si="9"/>
        <v>0</v>
      </c>
      <c r="O46" s="162">
        <f t="shared" si="10"/>
        <v>0</v>
      </c>
      <c r="P46" s="4"/>
    </row>
    <row r="47" spans="2:16">
      <c r="B47" s="9" t="str">
        <f t="shared" si="11"/>
        <v/>
      </c>
      <c r="C47" s="157">
        <f>IF(D11="","-",+C46+1)</f>
        <v>2049</v>
      </c>
      <c r="D47" s="166">
        <f>IF(F46+SUM(E$17:E46)=D$10,F46,D$10-SUM(E$17:E46))</f>
        <v>1311142.8571428591</v>
      </c>
      <c r="E47" s="164">
        <f t="shared" si="4"/>
        <v>100857.14285714286</v>
      </c>
      <c r="F47" s="163">
        <f t="shared" si="5"/>
        <v>1210285.7142857162</v>
      </c>
      <c r="G47" s="165">
        <f t="shared" si="6"/>
        <v>237020.30803290545</v>
      </c>
      <c r="H47" s="147">
        <f t="shared" si="7"/>
        <v>237020.30803290545</v>
      </c>
      <c r="I47" s="160">
        <f t="shared" si="0"/>
        <v>0</v>
      </c>
      <c r="J47" s="160"/>
      <c r="K47" s="335"/>
      <c r="L47" s="162">
        <f t="shared" si="8"/>
        <v>0</v>
      </c>
      <c r="M47" s="335"/>
      <c r="N47" s="162">
        <f t="shared" si="9"/>
        <v>0</v>
      </c>
      <c r="O47" s="162">
        <f t="shared" si="10"/>
        <v>0</v>
      </c>
      <c r="P47" s="4"/>
    </row>
    <row r="48" spans="2:16">
      <c r="B48" s="9" t="str">
        <f t="shared" si="11"/>
        <v/>
      </c>
      <c r="C48" s="157">
        <f>IF(D11="","-",+C47+1)</f>
        <v>2050</v>
      </c>
      <c r="D48" s="166">
        <f>IF(F47+SUM(E$17:E47)=D$10,F47,D$10-SUM(E$17:E47))</f>
        <v>1210285.7142857162</v>
      </c>
      <c r="E48" s="164">
        <f t="shared" si="4"/>
        <v>100857.14285714286</v>
      </c>
      <c r="F48" s="163">
        <f t="shared" si="5"/>
        <v>1109428.5714285732</v>
      </c>
      <c r="G48" s="165">
        <f t="shared" si="6"/>
        <v>226127.25481884443</v>
      </c>
      <c r="H48" s="147">
        <f t="shared" si="7"/>
        <v>226127.25481884443</v>
      </c>
      <c r="I48" s="160">
        <f t="shared" si="0"/>
        <v>0</v>
      </c>
      <c r="J48" s="160"/>
      <c r="K48" s="335"/>
      <c r="L48" s="162">
        <f t="shared" si="8"/>
        <v>0</v>
      </c>
      <c r="M48" s="335"/>
      <c r="N48" s="162">
        <f t="shared" si="9"/>
        <v>0</v>
      </c>
      <c r="O48" s="162">
        <f t="shared" si="10"/>
        <v>0</v>
      </c>
      <c r="P48" s="4"/>
    </row>
    <row r="49" spans="2:16">
      <c r="B49" s="9" t="str">
        <f t="shared" si="11"/>
        <v/>
      </c>
      <c r="C49" s="157">
        <f>IF(D11="","-",+C48+1)</f>
        <v>2051</v>
      </c>
      <c r="D49" s="166">
        <f>IF(F48+SUM(E$17:E48)=D$10,F48,D$10-SUM(E$17:E48))</f>
        <v>1109428.5714285732</v>
      </c>
      <c r="E49" s="164">
        <f t="shared" si="4"/>
        <v>100857.14285714286</v>
      </c>
      <c r="F49" s="163">
        <f t="shared" si="5"/>
        <v>1008571.4285714304</v>
      </c>
      <c r="G49" s="165">
        <f t="shared" si="6"/>
        <v>215234.20160478348</v>
      </c>
      <c r="H49" s="147">
        <f t="shared" si="7"/>
        <v>215234.20160478348</v>
      </c>
      <c r="I49" s="160">
        <f t="shared" si="0"/>
        <v>0</v>
      </c>
      <c r="J49" s="160"/>
      <c r="K49" s="335"/>
      <c r="L49" s="162">
        <f t="shared" si="8"/>
        <v>0</v>
      </c>
      <c r="M49" s="335"/>
      <c r="N49" s="162">
        <f t="shared" si="9"/>
        <v>0</v>
      </c>
      <c r="O49" s="162">
        <f t="shared" si="10"/>
        <v>0</v>
      </c>
      <c r="P49" s="4"/>
    </row>
    <row r="50" spans="2:16">
      <c r="B50" s="9" t="str">
        <f t="shared" si="11"/>
        <v/>
      </c>
      <c r="C50" s="157">
        <f>IF(D11="","-",+C49+1)</f>
        <v>2052</v>
      </c>
      <c r="D50" s="166">
        <f>IF(F49+SUM(E$17:E49)=D$10,F49,D$10-SUM(E$17:E49))</f>
        <v>1008571.4285714304</v>
      </c>
      <c r="E50" s="164">
        <f t="shared" si="4"/>
        <v>100857.14285714286</v>
      </c>
      <c r="F50" s="163">
        <f t="shared" si="5"/>
        <v>907714.28571428754</v>
      </c>
      <c r="G50" s="165">
        <f t="shared" si="6"/>
        <v>204341.14839072246</v>
      </c>
      <c r="H50" s="147">
        <f t="shared" si="7"/>
        <v>204341.14839072246</v>
      </c>
      <c r="I50" s="160">
        <f t="shared" si="0"/>
        <v>0</v>
      </c>
      <c r="J50" s="160"/>
      <c r="K50" s="335"/>
      <c r="L50" s="162">
        <f t="shared" si="8"/>
        <v>0</v>
      </c>
      <c r="M50" s="335"/>
      <c r="N50" s="162">
        <f t="shared" si="9"/>
        <v>0</v>
      </c>
      <c r="O50" s="162">
        <f t="shared" si="10"/>
        <v>0</v>
      </c>
      <c r="P50" s="4"/>
    </row>
    <row r="51" spans="2:16">
      <c r="B51" s="9" t="str">
        <f t="shared" si="11"/>
        <v/>
      </c>
      <c r="C51" s="157">
        <f>IF(D11="","-",+C50+1)</f>
        <v>2053</v>
      </c>
      <c r="D51" s="166">
        <f>IF(F50+SUM(E$17:E50)=D$10,F50,D$10-SUM(E$17:E50))</f>
        <v>907714.28571428754</v>
      </c>
      <c r="E51" s="164">
        <f t="shared" si="4"/>
        <v>100857.14285714286</v>
      </c>
      <c r="F51" s="163">
        <f t="shared" si="5"/>
        <v>806857.1428571447</v>
      </c>
      <c r="G51" s="165">
        <f t="shared" si="6"/>
        <v>193448.0951766615</v>
      </c>
      <c r="H51" s="147">
        <f t="shared" si="7"/>
        <v>193448.0951766615</v>
      </c>
      <c r="I51" s="160">
        <f t="shared" si="0"/>
        <v>0</v>
      </c>
      <c r="J51" s="160"/>
      <c r="K51" s="335"/>
      <c r="L51" s="162">
        <f t="shared" si="8"/>
        <v>0</v>
      </c>
      <c r="M51" s="335"/>
      <c r="N51" s="162">
        <f t="shared" si="9"/>
        <v>0</v>
      </c>
      <c r="O51" s="162">
        <f t="shared" si="10"/>
        <v>0</v>
      </c>
      <c r="P51" s="4"/>
    </row>
    <row r="52" spans="2:16">
      <c r="B52" s="9" t="str">
        <f t="shared" si="11"/>
        <v/>
      </c>
      <c r="C52" s="157">
        <f>IF(D11="","-",+C51+1)</f>
        <v>2054</v>
      </c>
      <c r="D52" s="166">
        <f>IF(F51+SUM(E$17:E51)=D$10,F51,D$10-SUM(E$17:E51))</f>
        <v>806857.1428571447</v>
      </c>
      <c r="E52" s="164">
        <f t="shared" si="4"/>
        <v>100857.14285714286</v>
      </c>
      <c r="F52" s="163">
        <f t="shared" si="5"/>
        <v>706000.00000000186</v>
      </c>
      <c r="G52" s="165">
        <f t="shared" si="6"/>
        <v>182555.04196260049</v>
      </c>
      <c r="H52" s="147">
        <f t="shared" si="7"/>
        <v>182555.04196260049</v>
      </c>
      <c r="I52" s="160">
        <f t="shared" si="0"/>
        <v>0</v>
      </c>
      <c r="J52" s="160"/>
      <c r="K52" s="335"/>
      <c r="L52" s="162">
        <f t="shared" si="8"/>
        <v>0</v>
      </c>
      <c r="M52" s="335"/>
      <c r="N52" s="162">
        <f t="shared" si="9"/>
        <v>0</v>
      </c>
      <c r="O52" s="162">
        <f t="shared" si="10"/>
        <v>0</v>
      </c>
      <c r="P52" s="4"/>
    </row>
    <row r="53" spans="2:16">
      <c r="B53" s="9" t="str">
        <f t="shared" si="11"/>
        <v/>
      </c>
      <c r="C53" s="157">
        <f>IF(D11="","-",+C52+1)</f>
        <v>2055</v>
      </c>
      <c r="D53" s="166">
        <f>IF(F52+SUM(E$17:E52)=D$10,F52,D$10-SUM(E$17:E52))</f>
        <v>706000.00000000186</v>
      </c>
      <c r="E53" s="164">
        <f t="shared" si="4"/>
        <v>100857.14285714286</v>
      </c>
      <c r="F53" s="163">
        <f t="shared" si="5"/>
        <v>605142.85714285902</v>
      </c>
      <c r="G53" s="165">
        <f t="shared" si="6"/>
        <v>171661.98874853953</v>
      </c>
      <c r="H53" s="147">
        <f t="shared" si="7"/>
        <v>171661.98874853953</v>
      </c>
      <c r="I53" s="160">
        <f t="shared" si="0"/>
        <v>0</v>
      </c>
      <c r="J53" s="160"/>
      <c r="K53" s="335"/>
      <c r="L53" s="162">
        <f t="shared" si="8"/>
        <v>0</v>
      </c>
      <c r="M53" s="335"/>
      <c r="N53" s="162">
        <f t="shared" si="9"/>
        <v>0</v>
      </c>
      <c r="O53" s="162">
        <f t="shared" si="10"/>
        <v>0</v>
      </c>
      <c r="P53" s="4"/>
    </row>
    <row r="54" spans="2:16">
      <c r="B54" s="9" t="str">
        <f t="shared" si="11"/>
        <v/>
      </c>
      <c r="C54" s="157">
        <f>IF(D11="","-",+C53+1)</f>
        <v>2056</v>
      </c>
      <c r="D54" s="166">
        <f>IF(F53+SUM(E$17:E53)=D$10,F53,D$10-SUM(E$17:E53))</f>
        <v>605142.85714285902</v>
      </c>
      <c r="E54" s="164">
        <f t="shared" si="4"/>
        <v>100857.14285714286</v>
      </c>
      <c r="F54" s="163">
        <f t="shared" si="5"/>
        <v>504285.71428571618</v>
      </c>
      <c r="G54" s="165">
        <f t="shared" si="6"/>
        <v>160768.93553447851</v>
      </c>
      <c r="H54" s="147">
        <f t="shared" si="7"/>
        <v>160768.93553447851</v>
      </c>
      <c r="I54" s="160">
        <f t="shared" si="0"/>
        <v>0</v>
      </c>
      <c r="J54" s="160"/>
      <c r="K54" s="335"/>
      <c r="L54" s="162">
        <f t="shared" si="8"/>
        <v>0</v>
      </c>
      <c r="M54" s="335"/>
      <c r="N54" s="162">
        <f t="shared" si="9"/>
        <v>0</v>
      </c>
      <c r="O54" s="162">
        <f t="shared" si="10"/>
        <v>0</v>
      </c>
      <c r="P54" s="4"/>
    </row>
    <row r="55" spans="2:16">
      <c r="B55" s="9" t="str">
        <f t="shared" si="11"/>
        <v/>
      </c>
      <c r="C55" s="157">
        <f>IF(D11="","-",+C54+1)</f>
        <v>2057</v>
      </c>
      <c r="D55" s="166">
        <f>IF(F54+SUM(E$17:E54)=D$10,F54,D$10-SUM(E$17:E54))</f>
        <v>504285.71428571618</v>
      </c>
      <c r="E55" s="164">
        <f t="shared" si="4"/>
        <v>100857.14285714286</v>
      </c>
      <c r="F55" s="163">
        <f t="shared" si="5"/>
        <v>403428.57142857334</v>
      </c>
      <c r="G55" s="165">
        <f t="shared" si="6"/>
        <v>149875.88232041753</v>
      </c>
      <c r="H55" s="147">
        <f t="shared" si="7"/>
        <v>149875.88232041753</v>
      </c>
      <c r="I55" s="160">
        <f t="shared" si="0"/>
        <v>0</v>
      </c>
      <c r="J55" s="160"/>
      <c r="K55" s="335"/>
      <c r="L55" s="162">
        <f t="shared" si="8"/>
        <v>0</v>
      </c>
      <c r="M55" s="335"/>
      <c r="N55" s="162">
        <f t="shared" si="9"/>
        <v>0</v>
      </c>
      <c r="O55" s="162">
        <f t="shared" si="10"/>
        <v>0</v>
      </c>
      <c r="P55" s="4"/>
    </row>
    <row r="56" spans="2:16">
      <c r="B56" s="9" t="str">
        <f t="shared" si="11"/>
        <v/>
      </c>
      <c r="C56" s="157">
        <f>IF(D11="","-",+C55+1)</f>
        <v>2058</v>
      </c>
      <c r="D56" s="166">
        <f>IF(F55+SUM(E$17:E55)=D$10,F55,D$10-SUM(E$17:E55))</f>
        <v>403428.57142857334</v>
      </c>
      <c r="E56" s="164">
        <f t="shared" si="4"/>
        <v>100857.14285714286</v>
      </c>
      <c r="F56" s="163">
        <f t="shared" si="5"/>
        <v>302571.4285714305</v>
      </c>
      <c r="G56" s="165">
        <f t="shared" si="6"/>
        <v>138982.82910635654</v>
      </c>
      <c r="H56" s="147">
        <f t="shared" si="7"/>
        <v>138982.82910635654</v>
      </c>
      <c r="I56" s="160">
        <f t="shared" si="0"/>
        <v>0</v>
      </c>
      <c r="J56" s="160"/>
      <c r="K56" s="335"/>
      <c r="L56" s="162">
        <f t="shared" si="8"/>
        <v>0</v>
      </c>
      <c r="M56" s="335"/>
      <c r="N56" s="162">
        <f t="shared" si="9"/>
        <v>0</v>
      </c>
      <c r="O56" s="162">
        <f t="shared" si="10"/>
        <v>0</v>
      </c>
      <c r="P56" s="4"/>
    </row>
    <row r="57" spans="2:16">
      <c r="B57" s="9" t="str">
        <f t="shared" si="11"/>
        <v/>
      </c>
      <c r="C57" s="157">
        <f>IF(D11="","-",+C56+1)</f>
        <v>2059</v>
      </c>
      <c r="D57" s="166">
        <f>IF(F56+SUM(E$17:E56)=D$10,F56,D$10-SUM(E$17:E56))</f>
        <v>302571.4285714305</v>
      </c>
      <c r="E57" s="164">
        <f t="shared" si="4"/>
        <v>100857.14285714286</v>
      </c>
      <c r="F57" s="163">
        <f t="shared" si="5"/>
        <v>201714.28571428766</v>
      </c>
      <c r="G57" s="165">
        <f t="shared" si="6"/>
        <v>128089.77589229554</v>
      </c>
      <c r="H57" s="147">
        <f t="shared" si="7"/>
        <v>128089.77589229554</v>
      </c>
      <c r="I57" s="160">
        <f t="shared" si="0"/>
        <v>0</v>
      </c>
      <c r="J57" s="160"/>
      <c r="K57" s="335"/>
      <c r="L57" s="162">
        <f t="shared" si="8"/>
        <v>0</v>
      </c>
      <c r="M57" s="335"/>
      <c r="N57" s="162">
        <f t="shared" si="9"/>
        <v>0</v>
      </c>
      <c r="O57" s="162">
        <f t="shared" si="10"/>
        <v>0</v>
      </c>
      <c r="P57" s="4"/>
    </row>
    <row r="58" spans="2:16">
      <c r="B58" s="9" t="str">
        <f t="shared" si="11"/>
        <v/>
      </c>
      <c r="C58" s="157">
        <f>IF(D11="","-",+C57+1)</f>
        <v>2060</v>
      </c>
      <c r="D58" s="166">
        <f>IF(F57+SUM(E$17:E57)=D$10,F57,D$10-SUM(E$17:E57))</f>
        <v>201714.28571428766</v>
      </c>
      <c r="E58" s="164">
        <f t="shared" si="4"/>
        <v>100857.14285714286</v>
      </c>
      <c r="F58" s="163">
        <f t="shared" si="5"/>
        <v>100857.14285714481</v>
      </c>
      <c r="G58" s="165">
        <f t="shared" si="6"/>
        <v>117196.72267823455</v>
      </c>
      <c r="H58" s="147">
        <f t="shared" si="7"/>
        <v>117196.72267823455</v>
      </c>
      <c r="I58" s="160">
        <f t="shared" si="0"/>
        <v>0</v>
      </c>
      <c r="J58" s="160"/>
      <c r="K58" s="335"/>
      <c r="L58" s="162">
        <f t="shared" si="8"/>
        <v>0</v>
      </c>
      <c r="M58" s="335"/>
      <c r="N58" s="162">
        <f t="shared" si="9"/>
        <v>0</v>
      </c>
      <c r="O58" s="162">
        <f t="shared" si="10"/>
        <v>0</v>
      </c>
      <c r="P58" s="4"/>
    </row>
    <row r="59" spans="2:16">
      <c r="B59" s="9" t="str">
        <f t="shared" si="11"/>
        <v/>
      </c>
      <c r="C59" s="157">
        <f>IF(D11="","-",+C58+1)</f>
        <v>2061</v>
      </c>
      <c r="D59" s="166">
        <f>IF(F58+SUM(E$17:E58)=D$10,F58,D$10-SUM(E$17:E58))</f>
        <v>100857.14285714481</v>
      </c>
      <c r="E59" s="164">
        <f t="shared" si="4"/>
        <v>100857.14285714286</v>
      </c>
      <c r="F59" s="163">
        <f t="shared" si="5"/>
        <v>1.9499566406011581E-9</v>
      </c>
      <c r="G59" s="165">
        <f t="shared" si="6"/>
        <v>106303.66946417357</v>
      </c>
      <c r="H59" s="147">
        <f t="shared" si="7"/>
        <v>106303.66946417357</v>
      </c>
      <c r="I59" s="160">
        <f t="shared" si="0"/>
        <v>0</v>
      </c>
      <c r="J59" s="160"/>
      <c r="K59" s="335"/>
      <c r="L59" s="162">
        <f t="shared" si="8"/>
        <v>0</v>
      </c>
      <c r="M59" s="335"/>
      <c r="N59" s="162">
        <f t="shared" si="9"/>
        <v>0</v>
      </c>
      <c r="O59" s="162">
        <f t="shared" si="10"/>
        <v>0</v>
      </c>
      <c r="P59" s="4"/>
    </row>
    <row r="60" spans="2:16">
      <c r="B60" s="9" t="str">
        <f t="shared" si="11"/>
        <v/>
      </c>
      <c r="C60" s="157">
        <f>IF(D11="","-",+C59+1)</f>
        <v>2062</v>
      </c>
      <c r="D60" s="166">
        <f>IF(F59+SUM(E$17:E59)=D$10,F59,D$10-SUM(E$17:E59))</f>
        <v>1.9499566406011581E-9</v>
      </c>
      <c r="E60" s="164">
        <f t="shared" si="4"/>
        <v>1.9499566406011581E-9</v>
      </c>
      <c r="F60" s="163">
        <f t="shared" si="5"/>
        <v>0</v>
      </c>
      <c r="G60" s="165">
        <f t="shared" si="6"/>
        <v>2.0552589565772632E-9</v>
      </c>
      <c r="H60" s="147">
        <f t="shared" si="7"/>
        <v>2.0552589565772632E-9</v>
      </c>
      <c r="I60" s="160">
        <f t="shared" si="0"/>
        <v>0</v>
      </c>
      <c r="J60" s="160"/>
      <c r="K60" s="335"/>
      <c r="L60" s="162">
        <f t="shared" si="8"/>
        <v>0</v>
      </c>
      <c r="M60" s="335"/>
      <c r="N60" s="162">
        <f t="shared" si="9"/>
        <v>0</v>
      </c>
      <c r="O60" s="162">
        <f t="shared" si="10"/>
        <v>0</v>
      </c>
      <c r="P60" s="4"/>
    </row>
    <row r="61" spans="2:16">
      <c r="B61" s="9" t="str">
        <f t="shared" si="11"/>
        <v/>
      </c>
      <c r="C61" s="157">
        <f>IF(D11="","-",+C60+1)</f>
        <v>2063</v>
      </c>
      <c r="D61" s="166">
        <f>IF(F60+SUM(E$17:E60)=D$10,F60,D$10-SUM(E$17:E60))</f>
        <v>0</v>
      </c>
      <c r="E61" s="164">
        <f t="shared" si="4"/>
        <v>0</v>
      </c>
      <c r="F61" s="163">
        <f t="shared" si="5"/>
        <v>0</v>
      </c>
      <c r="G61" s="165">
        <f t="shared" si="6"/>
        <v>0</v>
      </c>
      <c r="H61" s="147">
        <f t="shared" si="7"/>
        <v>0</v>
      </c>
      <c r="I61" s="160">
        <f t="shared" si="0"/>
        <v>0</v>
      </c>
      <c r="J61" s="160"/>
      <c r="K61" s="335"/>
      <c r="L61" s="162">
        <f t="shared" si="8"/>
        <v>0</v>
      </c>
      <c r="M61" s="335"/>
      <c r="N61" s="162">
        <f t="shared" si="9"/>
        <v>0</v>
      </c>
      <c r="O61" s="162">
        <f t="shared" si="10"/>
        <v>0</v>
      </c>
      <c r="P61" s="4"/>
    </row>
    <row r="62" spans="2:16">
      <c r="B62" s="9" t="str">
        <f t="shared" si="11"/>
        <v/>
      </c>
      <c r="C62" s="157">
        <f>IF(D11="","-",+C61+1)</f>
        <v>2064</v>
      </c>
      <c r="D62" s="166">
        <f>IF(F61+SUM(E$17:E61)=D$10,F61,D$10-SUM(E$17:E61))</f>
        <v>0</v>
      </c>
      <c r="E62" s="164">
        <f t="shared" si="4"/>
        <v>0</v>
      </c>
      <c r="F62" s="163">
        <f t="shared" si="5"/>
        <v>0</v>
      </c>
      <c r="G62" s="165">
        <f t="shared" si="6"/>
        <v>0</v>
      </c>
      <c r="H62" s="147">
        <f t="shared" si="7"/>
        <v>0</v>
      </c>
      <c r="I62" s="160">
        <f t="shared" si="0"/>
        <v>0</v>
      </c>
      <c r="J62" s="160"/>
      <c r="K62" s="335"/>
      <c r="L62" s="162">
        <f t="shared" si="8"/>
        <v>0</v>
      </c>
      <c r="M62" s="335"/>
      <c r="N62" s="162">
        <f t="shared" si="9"/>
        <v>0</v>
      </c>
      <c r="O62" s="162">
        <f t="shared" si="10"/>
        <v>0</v>
      </c>
      <c r="P62" s="4"/>
    </row>
    <row r="63" spans="2:16">
      <c r="B63" s="9" t="str">
        <f t="shared" si="11"/>
        <v/>
      </c>
      <c r="C63" s="157">
        <f>IF(D11="","-",+C62+1)</f>
        <v>2065</v>
      </c>
      <c r="D63" s="166">
        <f>IF(F62+SUM(E$17:E62)=D$10,F62,D$10-SUM(E$17:E62))</f>
        <v>0</v>
      </c>
      <c r="E63" s="164">
        <f t="shared" si="4"/>
        <v>0</v>
      </c>
      <c r="F63" s="163">
        <f t="shared" si="5"/>
        <v>0</v>
      </c>
      <c r="G63" s="165">
        <f t="shared" si="6"/>
        <v>0</v>
      </c>
      <c r="H63" s="147">
        <f t="shared" si="7"/>
        <v>0</v>
      </c>
      <c r="I63" s="160">
        <f t="shared" si="0"/>
        <v>0</v>
      </c>
      <c r="J63" s="160"/>
      <c r="K63" s="335"/>
      <c r="L63" s="162">
        <f t="shared" si="8"/>
        <v>0</v>
      </c>
      <c r="M63" s="335"/>
      <c r="N63" s="162">
        <f t="shared" si="9"/>
        <v>0</v>
      </c>
      <c r="O63" s="162">
        <f t="shared" si="10"/>
        <v>0</v>
      </c>
      <c r="P63" s="4"/>
    </row>
    <row r="64" spans="2:16">
      <c r="B64" s="9" t="str">
        <f t="shared" si="11"/>
        <v/>
      </c>
      <c r="C64" s="157">
        <f>IF(D11="","-",+C63+1)</f>
        <v>2066</v>
      </c>
      <c r="D64" s="166">
        <f>IF(F63+SUM(E$17:E63)=D$10,F63,D$10-SUM(E$17:E63))</f>
        <v>0</v>
      </c>
      <c r="E64" s="164">
        <f t="shared" si="4"/>
        <v>0</v>
      </c>
      <c r="F64" s="163">
        <f t="shared" si="5"/>
        <v>0</v>
      </c>
      <c r="G64" s="165">
        <f t="shared" si="6"/>
        <v>0</v>
      </c>
      <c r="H64" s="147">
        <f t="shared" si="7"/>
        <v>0</v>
      </c>
      <c r="I64" s="160">
        <f t="shared" si="0"/>
        <v>0</v>
      </c>
      <c r="J64" s="160"/>
      <c r="K64" s="335"/>
      <c r="L64" s="162">
        <f t="shared" si="8"/>
        <v>0</v>
      </c>
      <c r="M64" s="335"/>
      <c r="N64" s="162">
        <f t="shared" si="9"/>
        <v>0</v>
      </c>
      <c r="O64" s="162">
        <f t="shared" si="10"/>
        <v>0</v>
      </c>
      <c r="P64" s="4"/>
    </row>
    <row r="65" spans="2:16">
      <c r="B65" s="9" t="str">
        <f t="shared" si="11"/>
        <v/>
      </c>
      <c r="C65" s="157">
        <f>IF(D11="","-",+C64+1)</f>
        <v>2067</v>
      </c>
      <c r="D65" s="166">
        <f>IF(F64+SUM(E$17:E64)=D$10,F64,D$10-SUM(E$17:E64))</f>
        <v>0</v>
      </c>
      <c r="E65" s="164">
        <f t="shared" si="4"/>
        <v>0</v>
      </c>
      <c r="F65" s="163">
        <f t="shared" si="5"/>
        <v>0</v>
      </c>
      <c r="G65" s="165">
        <f t="shared" si="6"/>
        <v>0</v>
      </c>
      <c r="H65" s="147">
        <f t="shared" si="7"/>
        <v>0</v>
      </c>
      <c r="I65" s="160">
        <f t="shared" si="0"/>
        <v>0</v>
      </c>
      <c r="J65" s="160"/>
      <c r="K65" s="335"/>
      <c r="L65" s="162">
        <f t="shared" si="8"/>
        <v>0</v>
      </c>
      <c r="M65" s="335"/>
      <c r="N65" s="162">
        <f t="shared" si="9"/>
        <v>0</v>
      </c>
      <c r="O65" s="162">
        <f t="shared" si="10"/>
        <v>0</v>
      </c>
      <c r="P65" s="4"/>
    </row>
    <row r="66" spans="2:16">
      <c r="B66" s="9" t="str">
        <f t="shared" si="11"/>
        <v/>
      </c>
      <c r="C66" s="157">
        <f>IF(D11="","-",+C65+1)</f>
        <v>2068</v>
      </c>
      <c r="D66" s="166">
        <f>IF(F65+SUM(E$17:E65)=D$10,F65,D$10-SUM(E$17:E65))</f>
        <v>0</v>
      </c>
      <c r="E66" s="164">
        <f t="shared" si="4"/>
        <v>0</v>
      </c>
      <c r="F66" s="163">
        <f t="shared" si="5"/>
        <v>0</v>
      </c>
      <c r="G66" s="165">
        <f t="shared" si="6"/>
        <v>0</v>
      </c>
      <c r="H66" s="147">
        <f t="shared" si="7"/>
        <v>0</v>
      </c>
      <c r="I66" s="160">
        <f t="shared" si="0"/>
        <v>0</v>
      </c>
      <c r="J66" s="160"/>
      <c r="K66" s="335"/>
      <c r="L66" s="162">
        <f t="shared" si="8"/>
        <v>0</v>
      </c>
      <c r="M66" s="335"/>
      <c r="N66" s="162">
        <f t="shared" si="9"/>
        <v>0</v>
      </c>
      <c r="O66" s="162">
        <f t="shared" si="10"/>
        <v>0</v>
      </c>
      <c r="P66" s="4"/>
    </row>
    <row r="67" spans="2:16">
      <c r="B67" s="9" t="str">
        <f t="shared" si="11"/>
        <v/>
      </c>
      <c r="C67" s="157">
        <f>IF(D11="","-",+C66+1)</f>
        <v>2069</v>
      </c>
      <c r="D67" s="166">
        <f>IF(F66+SUM(E$17:E66)=D$10,F66,D$10-SUM(E$17:E66))</f>
        <v>0</v>
      </c>
      <c r="E67" s="164">
        <f t="shared" si="4"/>
        <v>0</v>
      </c>
      <c r="F67" s="163">
        <f t="shared" si="5"/>
        <v>0</v>
      </c>
      <c r="G67" s="165">
        <f t="shared" si="6"/>
        <v>0</v>
      </c>
      <c r="H67" s="147">
        <f t="shared" si="7"/>
        <v>0</v>
      </c>
      <c r="I67" s="160">
        <f t="shared" si="0"/>
        <v>0</v>
      </c>
      <c r="J67" s="160"/>
      <c r="K67" s="335"/>
      <c r="L67" s="162">
        <f t="shared" si="8"/>
        <v>0</v>
      </c>
      <c r="M67" s="335"/>
      <c r="N67" s="162">
        <f t="shared" si="9"/>
        <v>0</v>
      </c>
      <c r="O67" s="162">
        <f t="shared" si="10"/>
        <v>0</v>
      </c>
      <c r="P67" s="4"/>
    </row>
    <row r="68" spans="2:16">
      <c r="B68" s="9" t="str">
        <f t="shared" si="11"/>
        <v/>
      </c>
      <c r="C68" s="157">
        <f>IF(D11="","-",+C67+1)</f>
        <v>2070</v>
      </c>
      <c r="D68" s="166">
        <f>IF(F67+SUM(E$17:E67)=D$10,F67,D$10-SUM(E$17:E67))</f>
        <v>0</v>
      </c>
      <c r="E68" s="164">
        <f t="shared" si="4"/>
        <v>0</v>
      </c>
      <c r="F68" s="163">
        <f t="shared" si="5"/>
        <v>0</v>
      </c>
      <c r="G68" s="165">
        <f t="shared" si="6"/>
        <v>0</v>
      </c>
      <c r="H68" s="147">
        <f t="shared" si="7"/>
        <v>0</v>
      </c>
      <c r="I68" s="160">
        <f t="shared" si="0"/>
        <v>0</v>
      </c>
      <c r="J68" s="160"/>
      <c r="K68" s="335"/>
      <c r="L68" s="162">
        <f t="shared" si="8"/>
        <v>0</v>
      </c>
      <c r="M68" s="335"/>
      <c r="N68" s="162">
        <f t="shared" si="9"/>
        <v>0</v>
      </c>
      <c r="O68" s="162">
        <f t="shared" si="10"/>
        <v>0</v>
      </c>
      <c r="P68" s="4"/>
    </row>
    <row r="69" spans="2:16">
      <c r="B69" s="9" t="str">
        <f t="shared" si="11"/>
        <v/>
      </c>
      <c r="C69" s="157">
        <f>IF(D11="","-",+C68+1)</f>
        <v>2071</v>
      </c>
      <c r="D69" s="166">
        <f>IF(F68+SUM(E$17:E68)=D$10,F68,D$10-SUM(E$17:E68))</f>
        <v>0</v>
      </c>
      <c r="E69" s="164">
        <f t="shared" si="4"/>
        <v>0</v>
      </c>
      <c r="F69" s="163">
        <f t="shared" si="5"/>
        <v>0</v>
      </c>
      <c r="G69" s="165">
        <f t="shared" si="6"/>
        <v>0</v>
      </c>
      <c r="H69" s="147">
        <f t="shared" si="7"/>
        <v>0</v>
      </c>
      <c r="I69" s="160">
        <f t="shared" si="0"/>
        <v>0</v>
      </c>
      <c r="J69" s="160"/>
      <c r="K69" s="335"/>
      <c r="L69" s="162">
        <f t="shared" si="8"/>
        <v>0</v>
      </c>
      <c r="M69" s="335"/>
      <c r="N69" s="162">
        <f t="shared" si="9"/>
        <v>0</v>
      </c>
      <c r="O69" s="162">
        <f t="shared" si="10"/>
        <v>0</v>
      </c>
      <c r="P69" s="4"/>
    </row>
    <row r="70" spans="2:16">
      <c r="B70" s="9" t="str">
        <f t="shared" si="11"/>
        <v/>
      </c>
      <c r="C70" s="157">
        <f>IF(D11="","-",+C69+1)</f>
        <v>2072</v>
      </c>
      <c r="D70" s="166">
        <f>IF(F69+SUM(E$17:E69)=D$10,F69,D$10-SUM(E$17:E69))</f>
        <v>0</v>
      </c>
      <c r="E70" s="164">
        <f t="shared" si="4"/>
        <v>0</v>
      </c>
      <c r="F70" s="163">
        <f t="shared" si="5"/>
        <v>0</v>
      </c>
      <c r="G70" s="165">
        <f t="shared" si="6"/>
        <v>0</v>
      </c>
      <c r="H70" s="147">
        <f t="shared" si="7"/>
        <v>0</v>
      </c>
      <c r="I70" s="160">
        <f t="shared" si="0"/>
        <v>0</v>
      </c>
      <c r="J70" s="160"/>
      <c r="K70" s="335"/>
      <c r="L70" s="162">
        <f t="shared" si="8"/>
        <v>0</v>
      </c>
      <c r="M70" s="335"/>
      <c r="N70" s="162">
        <f t="shared" si="9"/>
        <v>0</v>
      </c>
      <c r="O70" s="162">
        <f t="shared" si="10"/>
        <v>0</v>
      </c>
      <c r="P70" s="4"/>
    </row>
    <row r="71" spans="2:16">
      <c r="B71" s="9" t="str">
        <f t="shared" si="11"/>
        <v/>
      </c>
      <c r="C71" s="157">
        <f>IF(D11="","-",+C70+1)</f>
        <v>2073</v>
      </c>
      <c r="D71" s="166">
        <f>IF(F70+SUM(E$17:E70)=D$10,F70,D$10-SUM(E$17:E70))</f>
        <v>0</v>
      </c>
      <c r="E71" s="164">
        <f t="shared" si="4"/>
        <v>0</v>
      </c>
      <c r="F71" s="163">
        <f t="shared" si="5"/>
        <v>0</v>
      </c>
      <c r="G71" s="165">
        <f t="shared" si="6"/>
        <v>0</v>
      </c>
      <c r="H71" s="147">
        <f t="shared" si="7"/>
        <v>0</v>
      </c>
      <c r="I71" s="160">
        <f t="shared" si="0"/>
        <v>0</v>
      </c>
      <c r="J71" s="160"/>
      <c r="K71" s="335"/>
      <c r="L71" s="162">
        <f t="shared" si="8"/>
        <v>0</v>
      </c>
      <c r="M71" s="335"/>
      <c r="N71" s="162">
        <f t="shared" si="9"/>
        <v>0</v>
      </c>
      <c r="O71" s="162">
        <f t="shared" si="10"/>
        <v>0</v>
      </c>
      <c r="P71" s="4"/>
    </row>
    <row r="72" spans="2:16" ht="13.5" thickBot="1">
      <c r="B72" s="9" t="str">
        <f t="shared" si="11"/>
        <v/>
      </c>
      <c r="C72" s="168">
        <f>IF(D11="","-",+C71+1)</f>
        <v>2074</v>
      </c>
      <c r="D72" s="462">
        <f>IF(F71+SUM(E$17:E71)=D$10,F71,D$10-SUM(E$17:E71))</f>
        <v>0</v>
      </c>
      <c r="E72" s="170">
        <f t="shared" si="4"/>
        <v>0</v>
      </c>
      <c r="F72" s="169">
        <f t="shared" si="5"/>
        <v>0</v>
      </c>
      <c r="G72" s="377">
        <f t="shared" si="6"/>
        <v>0</v>
      </c>
      <c r="H72" s="130">
        <f t="shared" si="7"/>
        <v>0</v>
      </c>
      <c r="I72" s="172">
        <f t="shared" si="0"/>
        <v>0</v>
      </c>
      <c r="J72" s="160"/>
      <c r="K72" s="336"/>
      <c r="L72" s="173">
        <f t="shared" si="8"/>
        <v>0</v>
      </c>
      <c r="M72" s="336"/>
      <c r="N72" s="173">
        <f t="shared" si="9"/>
        <v>0</v>
      </c>
      <c r="O72" s="173">
        <f t="shared" si="10"/>
        <v>0</v>
      </c>
      <c r="P72" s="4"/>
    </row>
    <row r="73" spans="2:16">
      <c r="C73" s="158" t="s">
        <v>72</v>
      </c>
      <c r="D73" s="115"/>
      <c r="E73" s="115">
        <f>SUM(E17:E72)</f>
        <v>4236000</v>
      </c>
      <c r="F73" s="115"/>
      <c r="G73" s="115">
        <f>SUM(G17:G72)</f>
        <v>14073685.595274758</v>
      </c>
      <c r="H73" s="115">
        <f>SUM(H17:H72)</f>
        <v>14073685.595274758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27 of 28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2018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0</v>
      </c>
      <c r="N87" s="202">
        <f>IF(J92&lt;D11,0,VLOOKUP(J92,C17:O72,11))</f>
        <v>0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0</v>
      </c>
      <c r="N88" s="204">
        <f>IF(J92&lt;D11,0,VLOOKUP(J92,C99:P154,7))</f>
        <v>0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Broken Arrow North-Lynn Lane East 138 kV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0</v>
      </c>
      <c r="N89" s="207">
        <f>+N88-N87</f>
        <v>0</v>
      </c>
      <c r="O89" s="208">
        <f>+O88-O87</f>
        <v>0</v>
      </c>
      <c r="P89" s="1"/>
    </row>
    <row r="90" spans="1:16" ht="13.5" thickBot="1">
      <c r="C90" s="174"/>
      <c r="D90" s="177">
        <f>D8</f>
        <v>0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>
        <f>+D9</f>
        <v>0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222">
        <f>IF(D11=I10,0,D10)</f>
        <v>4236000</v>
      </c>
      <c r="E92" s="22" t="s">
        <v>89</v>
      </c>
      <c r="H92" s="139"/>
      <c r="I92" s="139"/>
      <c r="J92" s="140">
        <f>+'PSO.WS.G.BPU.ATRR.True-up'!M16</f>
        <v>2018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2019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3</v>
      </c>
      <c r="E94" s="141" t="s">
        <v>51</v>
      </c>
      <c r="F94" s="139"/>
      <c r="G94" s="139"/>
      <c r="J94" s="145">
        <f>'PSO.WS.G.BPU.ATRR.True-up'!$F$81</f>
        <v>0.10273556682691798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43</v>
      </c>
      <c r="E95" s="141" t="s">
        <v>54</v>
      </c>
      <c r="F95" s="139"/>
      <c r="G95" s="139"/>
      <c r="J95" s="145">
        <f>IF(H87="",J94,'PSO.WS.G.BPU.ATRR.True-up'!$F$80)</f>
        <v>0.10273556682691798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98512</v>
      </c>
      <c r="K96" s="115"/>
      <c r="L96" s="115"/>
      <c r="M96" s="115"/>
      <c r="N96" s="115"/>
      <c r="O96" s="115"/>
      <c r="P96" s="4"/>
    </row>
    <row r="97" spans="1:16" ht="51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277</v>
      </c>
      <c r="I97" s="339" t="s">
        <v>278</v>
      </c>
      <c r="J97" s="214" t="s">
        <v>93</v>
      </c>
      <c r="K97" s="216"/>
      <c r="L97" s="151" t="s">
        <v>97</v>
      </c>
      <c r="M97" s="151" t="s">
        <v>94</v>
      </c>
      <c r="N97" s="151" t="s">
        <v>97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2019</v>
      </c>
      <c r="D99" s="158">
        <v>0</v>
      </c>
      <c r="E99" s="165">
        <f>IF(OR(D11=I10,D92&lt;100000),0,J$96/12*(12-D94))</f>
        <v>73884</v>
      </c>
      <c r="F99" s="163">
        <f>IF(D93=C99,+D92-E99,+D99-E99)</f>
        <v>4162116</v>
      </c>
      <c r="G99" s="218">
        <f>+(F99+D99)/2</f>
        <v>2081058</v>
      </c>
      <c r="H99" s="218">
        <f t="shared" ref="H99:H154" si="12">+J$94*G99+E99</f>
        <v>287682.67322969227</v>
      </c>
      <c r="I99" s="218">
        <f>+J$95*G99+E99</f>
        <v>287682.67322969227</v>
      </c>
      <c r="J99" s="162">
        <f t="shared" ref="J99:J130" si="13">+I99-H99</f>
        <v>0</v>
      </c>
      <c r="K99" s="162"/>
      <c r="L99" s="334"/>
      <c r="M99" s="161">
        <f t="shared" ref="M99:M130" si="14">IF(L99&lt;&gt;0,+H99-L99,0)</f>
        <v>0</v>
      </c>
      <c r="N99" s="334"/>
      <c r="O99" s="161">
        <f t="shared" ref="O99:O130" si="15">IF(N99&lt;&gt;0,+I99-N99,0)</f>
        <v>0</v>
      </c>
      <c r="P99" s="161">
        <f t="shared" ref="P99:P130" si="16">+O99-M99</f>
        <v>0</v>
      </c>
    </row>
    <row r="100" spans="1:16">
      <c r="B100" s="9" t="str">
        <f>IF(D100=F99,"","IU")</f>
        <v/>
      </c>
      <c r="C100" s="157">
        <f>IF(D93="","-",+C99+1)</f>
        <v>2020</v>
      </c>
      <c r="D100" s="158">
        <f>IF(F99+SUM(E$99:E99)=D$92,F99,D$92-SUM(E$99:E99))</f>
        <v>4162116</v>
      </c>
      <c r="E100" s="164">
        <f>IF(+J$96&lt;F99,J$96,D100)</f>
        <v>98512</v>
      </c>
      <c r="F100" s="163">
        <f>+D100-E100</f>
        <v>4063604</v>
      </c>
      <c r="G100" s="163">
        <f>+(F100+D100)/2</f>
        <v>4112860</v>
      </c>
      <c r="H100" s="333">
        <f t="shared" si="12"/>
        <v>521049.00337975787</v>
      </c>
      <c r="I100" s="344">
        <f t="shared" ref="I100:I154" si="17">+J$95*G100+E100</f>
        <v>521049.00337975787</v>
      </c>
      <c r="J100" s="162">
        <f t="shared" si="13"/>
        <v>0</v>
      </c>
      <c r="K100" s="162"/>
      <c r="L100" s="335"/>
      <c r="M100" s="162">
        <f t="shared" si="14"/>
        <v>0</v>
      </c>
      <c r="N100" s="335"/>
      <c r="O100" s="162">
        <f t="shared" si="15"/>
        <v>0</v>
      </c>
      <c r="P100" s="162">
        <f t="shared" si="16"/>
        <v>0</v>
      </c>
    </row>
    <row r="101" spans="1:16">
      <c r="B101" s="9" t="str">
        <f t="shared" ref="B101:B154" si="18">IF(D101=F100,"","IU")</f>
        <v/>
      </c>
      <c r="C101" s="157">
        <f>IF(D93="","-",+C100+1)</f>
        <v>2021</v>
      </c>
      <c r="D101" s="158">
        <f>IF(F100+SUM(E$99:E100)=D$92,F100,D$92-SUM(E$99:E100))</f>
        <v>4063604</v>
      </c>
      <c r="E101" s="164">
        <f t="shared" ref="E101:E154" si="19">IF(+J$96&lt;F100,J$96,D101)</f>
        <v>98512</v>
      </c>
      <c r="F101" s="163">
        <f t="shared" ref="F101:F154" si="20">+D101-E101</f>
        <v>3965092</v>
      </c>
      <c r="G101" s="163">
        <f t="shared" ref="G101:G154" si="21">+(F101+D101)/2</f>
        <v>4014348</v>
      </c>
      <c r="H101" s="333">
        <f t="shared" si="12"/>
        <v>510928.31722050451</v>
      </c>
      <c r="I101" s="344">
        <f t="shared" si="17"/>
        <v>510928.31722050451</v>
      </c>
      <c r="J101" s="162">
        <f t="shared" si="13"/>
        <v>0</v>
      </c>
      <c r="K101" s="162"/>
      <c r="L101" s="335"/>
      <c r="M101" s="162">
        <f t="shared" si="14"/>
        <v>0</v>
      </c>
      <c r="N101" s="335"/>
      <c r="O101" s="162">
        <f t="shared" si="15"/>
        <v>0</v>
      </c>
      <c r="P101" s="162">
        <f t="shared" si="16"/>
        <v>0</v>
      </c>
    </row>
    <row r="102" spans="1:16">
      <c r="B102" s="9" t="str">
        <f t="shared" si="18"/>
        <v/>
      </c>
      <c r="C102" s="157">
        <f>IF(D93="","-",+C101+1)</f>
        <v>2022</v>
      </c>
      <c r="D102" s="158">
        <f>IF(F101+SUM(E$99:E101)=D$92,F101,D$92-SUM(E$99:E101))</f>
        <v>3965092</v>
      </c>
      <c r="E102" s="164">
        <f t="shared" si="19"/>
        <v>98512</v>
      </c>
      <c r="F102" s="163">
        <f t="shared" si="20"/>
        <v>3866580</v>
      </c>
      <c r="G102" s="163">
        <f t="shared" si="21"/>
        <v>3915836</v>
      </c>
      <c r="H102" s="333">
        <f t="shared" si="12"/>
        <v>500807.63106125122</v>
      </c>
      <c r="I102" s="344">
        <f t="shared" si="17"/>
        <v>500807.63106125122</v>
      </c>
      <c r="J102" s="162">
        <f t="shared" si="13"/>
        <v>0</v>
      </c>
      <c r="K102" s="162"/>
      <c r="L102" s="335"/>
      <c r="M102" s="162">
        <f t="shared" si="14"/>
        <v>0</v>
      </c>
      <c r="N102" s="335"/>
      <c r="O102" s="162">
        <f t="shared" si="15"/>
        <v>0</v>
      </c>
      <c r="P102" s="162">
        <f t="shared" si="16"/>
        <v>0</v>
      </c>
    </row>
    <row r="103" spans="1:16">
      <c r="B103" s="9" t="str">
        <f t="shared" si="18"/>
        <v/>
      </c>
      <c r="C103" s="157">
        <f>IF(D93="","-",+C102+1)</f>
        <v>2023</v>
      </c>
      <c r="D103" s="158">
        <f>IF(F102+SUM(E$99:E102)=D$92,F102,D$92-SUM(E$99:E102))</f>
        <v>3866580</v>
      </c>
      <c r="E103" s="164">
        <f t="shared" si="19"/>
        <v>98512</v>
      </c>
      <c r="F103" s="163">
        <f t="shared" si="20"/>
        <v>3768068</v>
      </c>
      <c r="G103" s="163">
        <f t="shared" si="21"/>
        <v>3817324</v>
      </c>
      <c r="H103" s="333">
        <f t="shared" si="12"/>
        <v>490686.94490199786</v>
      </c>
      <c r="I103" s="344">
        <f t="shared" si="17"/>
        <v>490686.94490199786</v>
      </c>
      <c r="J103" s="162">
        <f t="shared" si="13"/>
        <v>0</v>
      </c>
      <c r="K103" s="162"/>
      <c r="L103" s="335"/>
      <c r="M103" s="162">
        <f t="shared" si="14"/>
        <v>0</v>
      </c>
      <c r="N103" s="335"/>
      <c r="O103" s="162">
        <f t="shared" si="15"/>
        <v>0</v>
      </c>
      <c r="P103" s="162">
        <f t="shared" si="16"/>
        <v>0</v>
      </c>
    </row>
    <row r="104" spans="1:16">
      <c r="B104" s="9" t="str">
        <f t="shared" si="18"/>
        <v/>
      </c>
      <c r="C104" s="157">
        <f>IF(D93="","-",+C103+1)</f>
        <v>2024</v>
      </c>
      <c r="D104" s="158">
        <f>IF(F103+SUM(E$99:E103)=D$92,F103,D$92-SUM(E$99:E103))</f>
        <v>3768068</v>
      </c>
      <c r="E104" s="164">
        <f t="shared" si="19"/>
        <v>98512</v>
      </c>
      <c r="F104" s="163">
        <f t="shared" si="20"/>
        <v>3669556</v>
      </c>
      <c r="G104" s="163">
        <f t="shared" si="21"/>
        <v>3718812</v>
      </c>
      <c r="H104" s="333">
        <f t="shared" si="12"/>
        <v>480566.25874274451</v>
      </c>
      <c r="I104" s="344">
        <f t="shared" si="17"/>
        <v>480566.25874274451</v>
      </c>
      <c r="J104" s="162">
        <f t="shared" si="13"/>
        <v>0</v>
      </c>
      <c r="K104" s="162"/>
      <c r="L104" s="335"/>
      <c r="M104" s="162">
        <f t="shared" si="14"/>
        <v>0</v>
      </c>
      <c r="N104" s="335"/>
      <c r="O104" s="162">
        <f t="shared" si="15"/>
        <v>0</v>
      </c>
      <c r="P104" s="162">
        <f t="shared" si="16"/>
        <v>0</v>
      </c>
    </row>
    <row r="105" spans="1:16">
      <c r="B105" s="9" t="str">
        <f t="shared" si="18"/>
        <v/>
      </c>
      <c r="C105" s="157">
        <f>IF(D93="","-",+C104+1)</f>
        <v>2025</v>
      </c>
      <c r="D105" s="158">
        <f>IF(F104+SUM(E$99:E104)=D$92,F104,D$92-SUM(E$99:E104))</f>
        <v>3669556</v>
      </c>
      <c r="E105" s="164">
        <f t="shared" si="19"/>
        <v>98512</v>
      </c>
      <c r="F105" s="163">
        <f t="shared" si="20"/>
        <v>3571044</v>
      </c>
      <c r="G105" s="163">
        <f t="shared" si="21"/>
        <v>3620300</v>
      </c>
      <c r="H105" s="333">
        <f t="shared" si="12"/>
        <v>470445.57258349116</v>
      </c>
      <c r="I105" s="344">
        <f t="shared" si="17"/>
        <v>470445.57258349116</v>
      </c>
      <c r="J105" s="162">
        <f t="shared" si="13"/>
        <v>0</v>
      </c>
      <c r="K105" s="162"/>
      <c r="L105" s="335"/>
      <c r="M105" s="162">
        <f t="shared" si="14"/>
        <v>0</v>
      </c>
      <c r="N105" s="335"/>
      <c r="O105" s="162">
        <f t="shared" si="15"/>
        <v>0</v>
      </c>
      <c r="P105" s="162">
        <f t="shared" si="16"/>
        <v>0</v>
      </c>
    </row>
    <row r="106" spans="1:16">
      <c r="B106" s="9" t="str">
        <f t="shared" si="18"/>
        <v/>
      </c>
      <c r="C106" s="157">
        <f>IF(D93="","-",+C105+1)</f>
        <v>2026</v>
      </c>
      <c r="D106" s="158">
        <f>IF(F105+SUM(E$99:E105)=D$92,F105,D$92-SUM(E$99:E105))</f>
        <v>3571044</v>
      </c>
      <c r="E106" s="164">
        <f t="shared" si="19"/>
        <v>98512</v>
      </c>
      <c r="F106" s="163">
        <f t="shared" si="20"/>
        <v>3472532</v>
      </c>
      <c r="G106" s="163">
        <f t="shared" si="21"/>
        <v>3521788</v>
      </c>
      <c r="H106" s="333">
        <f t="shared" si="12"/>
        <v>460324.8864242378</v>
      </c>
      <c r="I106" s="344">
        <f t="shared" si="17"/>
        <v>460324.8864242378</v>
      </c>
      <c r="J106" s="162">
        <f t="shared" si="13"/>
        <v>0</v>
      </c>
      <c r="K106" s="162"/>
      <c r="L106" s="335"/>
      <c r="M106" s="162">
        <f t="shared" si="14"/>
        <v>0</v>
      </c>
      <c r="N106" s="335"/>
      <c r="O106" s="162">
        <f t="shared" si="15"/>
        <v>0</v>
      </c>
      <c r="P106" s="162">
        <f t="shared" si="16"/>
        <v>0</v>
      </c>
    </row>
    <row r="107" spans="1:16">
      <c r="B107" s="9" t="str">
        <f t="shared" si="18"/>
        <v/>
      </c>
      <c r="C107" s="157">
        <f>IF(D93="","-",+C106+1)</f>
        <v>2027</v>
      </c>
      <c r="D107" s="158">
        <f>IF(F106+SUM(E$99:E106)=D$92,F106,D$92-SUM(E$99:E106))</f>
        <v>3472532</v>
      </c>
      <c r="E107" s="164">
        <f t="shared" si="19"/>
        <v>98512</v>
      </c>
      <c r="F107" s="163">
        <f t="shared" si="20"/>
        <v>3374020</v>
      </c>
      <c r="G107" s="163">
        <f t="shared" si="21"/>
        <v>3423276</v>
      </c>
      <c r="H107" s="333">
        <f t="shared" si="12"/>
        <v>450204.20026498445</v>
      </c>
      <c r="I107" s="344">
        <f t="shared" si="17"/>
        <v>450204.20026498445</v>
      </c>
      <c r="J107" s="162">
        <f t="shared" si="13"/>
        <v>0</v>
      </c>
      <c r="K107" s="162"/>
      <c r="L107" s="335"/>
      <c r="M107" s="162">
        <f t="shared" si="14"/>
        <v>0</v>
      </c>
      <c r="N107" s="335"/>
      <c r="O107" s="162">
        <f t="shared" si="15"/>
        <v>0</v>
      </c>
      <c r="P107" s="162">
        <f t="shared" si="16"/>
        <v>0</v>
      </c>
    </row>
    <row r="108" spans="1:16">
      <c r="B108" s="9" t="str">
        <f t="shared" si="18"/>
        <v/>
      </c>
      <c r="C108" s="157">
        <f>IF(D93="","-",+C107+1)</f>
        <v>2028</v>
      </c>
      <c r="D108" s="158">
        <f>IF(F107+SUM(E$99:E107)=D$92,F107,D$92-SUM(E$99:E107))</f>
        <v>3374020</v>
      </c>
      <c r="E108" s="164">
        <f t="shared" si="19"/>
        <v>98512</v>
      </c>
      <c r="F108" s="163">
        <f t="shared" si="20"/>
        <v>3275508</v>
      </c>
      <c r="G108" s="163">
        <f t="shared" si="21"/>
        <v>3324764</v>
      </c>
      <c r="H108" s="333">
        <f t="shared" si="12"/>
        <v>440083.51410573116</v>
      </c>
      <c r="I108" s="344">
        <f t="shared" si="17"/>
        <v>440083.51410573116</v>
      </c>
      <c r="J108" s="162">
        <f t="shared" si="13"/>
        <v>0</v>
      </c>
      <c r="K108" s="162"/>
      <c r="L108" s="335"/>
      <c r="M108" s="162">
        <f t="shared" si="14"/>
        <v>0</v>
      </c>
      <c r="N108" s="335"/>
      <c r="O108" s="162">
        <f t="shared" si="15"/>
        <v>0</v>
      </c>
      <c r="P108" s="162">
        <f t="shared" si="16"/>
        <v>0</v>
      </c>
    </row>
    <row r="109" spans="1:16">
      <c r="B109" s="9" t="str">
        <f t="shared" si="18"/>
        <v/>
      </c>
      <c r="C109" s="157">
        <f>IF(D93="","-",+C108+1)</f>
        <v>2029</v>
      </c>
      <c r="D109" s="158">
        <f>IF(F108+SUM(E$99:E108)=D$92,F108,D$92-SUM(E$99:E108))</f>
        <v>3275508</v>
      </c>
      <c r="E109" s="164">
        <f t="shared" si="19"/>
        <v>98512</v>
      </c>
      <c r="F109" s="163">
        <f t="shared" si="20"/>
        <v>3176996</v>
      </c>
      <c r="G109" s="163">
        <f t="shared" si="21"/>
        <v>3226252</v>
      </c>
      <c r="H109" s="333">
        <f t="shared" si="12"/>
        <v>429962.8279464778</v>
      </c>
      <c r="I109" s="344">
        <f t="shared" si="17"/>
        <v>429962.8279464778</v>
      </c>
      <c r="J109" s="162">
        <f t="shared" si="13"/>
        <v>0</v>
      </c>
      <c r="K109" s="162"/>
      <c r="L109" s="335"/>
      <c r="M109" s="162">
        <f t="shared" si="14"/>
        <v>0</v>
      </c>
      <c r="N109" s="335"/>
      <c r="O109" s="162">
        <f t="shared" si="15"/>
        <v>0</v>
      </c>
      <c r="P109" s="162">
        <f t="shared" si="16"/>
        <v>0</v>
      </c>
    </row>
    <row r="110" spans="1:16">
      <c r="B110" s="9" t="str">
        <f t="shared" si="18"/>
        <v/>
      </c>
      <c r="C110" s="157">
        <f>IF(D93="","-",+C109+1)</f>
        <v>2030</v>
      </c>
      <c r="D110" s="158">
        <f>IF(F109+SUM(E$99:E109)=D$92,F109,D$92-SUM(E$99:E109))</f>
        <v>3176996</v>
      </c>
      <c r="E110" s="164">
        <f t="shared" si="19"/>
        <v>98512</v>
      </c>
      <c r="F110" s="163">
        <f t="shared" si="20"/>
        <v>3078484</v>
      </c>
      <c r="G110" s="163">
        <f t="shared" si="21"/>
        <v>3127740</v>
      </c>
      <c r="H110" s="333">
        <f t="shared" si="12"/>
        <v>419842.14178722445</v>
      </c>
      <c r="I110" s="344">
        <f t="shared" si="17"/>
        <v>419842.14178722445</v>
      </c>
      <c r="J110" s="162">
        <f t="shared" si="13"/>
        <v>0</v>
      </c>
      <c r="K110" s="162"/>
      <c r="L110" s="335"/>
      <c r="M110" s="162">
        <f t="shared" si="14"/>
        <v>0</v>
      </c>
      <c r="N110" s="335"/>
      <c r="O110" s="162">
        <f t="shared" si="15"/>
        <v>0</v>
      </c>
      <c r="P110" s="162">
        <f t="shared" si="16"/>
        <v>0</v>
      </c>
    </row>
    <row r="111" spans="1:16">
      <c r="B111" s="9" t="str">
        <f t="shared" si="18"/>
        <v/>
      </c>
      <c r="C111" s="157">
        <f>IF(D93="","-",+C110+1)</f>
        <v>2031</v>
      </c>
      <c r="D111" s="158">
        <f>IF(F110+SUM(E$99:E110)=D$92,F110,D$92-SUM(E$99:E110))</f>
        <v>3078484</v>
      </c>
      <c r="E111" s="164">
        <f t="shared" si="19"/>
        <v>98512</v>
      </c>
      <c r="F111" s="163">
        <f t="shared" si="20"/>
        <v>2979972</v>
      </c>
      <c r="G111" s="163">
        <f t="shared" si="21"/>
        <v>3029228</v>
      </c>
      <c r="H111" s="333">
        <f t="shared" si="12"/>
        <v>409721.4556279711</v>
      </c>
      <c r="I111" s="344">
        <f t="shared" si="17"/>
        <v>409721.4556279711</v>
      </c>
      <c r="J111" s="162">
        <f t="shared" si="13"/>
        <v>0</v>
      </c>
      <c r="K111" s="162"/>
      <c r="L111" s="335"/>
      <c r="M111" s="162">
        <f t="shared" si="14"/>
        <v>0</v>
      </c>
      <c r="N111" s="335"/>
      <c r="O111" s="162">
        <f t="shared" si="15"/>
        <v>0</v>
      </c>
      <c r="P111" s="162">
        <f t="shared" si="16"/>
        <v>0</v>
      </c>
    </row>
    <row r="112" spans="1:16">
      <c r="B112" s="9" t="str">
        <f t="shared" si="18"/>
        <v/>
      </c>
      <c r="C112" s="157">
        <f>IF(D93="","-",+C111+1)</f>
        <v>2032</v>
      </c>
      <c r="D112" s="158">
        <f>IF(F111+SUM(E$99:E111)=D$92,F111,D$92-SUM(E$99:E111))</f>
        <v>2979972</v>
      </c>
      <c r="E112" s="164">
        <f t="shared" si="19"/>
        <v>98512</v>
      </c>
      <c r="F112" s="163">
        <f t="shared" si="20"/>
        <v>2881460</v>
      </c>
      <c r="G112" s="163">
        <f t="shared" si="21"/>
        <v>2930716</v>
      </c>
      <c r="H112" s="333">
        <f t="shared" si="12"/>
        <v>399600.76946871774</v>
      </c>
      <c r="I112" s="344">
        <f t="shared" si="17"/>
        <v>399600.76946871774</v>
      </c>
      <c r="J112" s="162">
        <f t="shared" si="13"/>
        <v>0</v>
      </c>
      <c r="K112" s="162"/>
      <c r="L112" s="335"/>
      <c r="M112" s="162">
        <f t="shared" si="14"/>
        <v>0</v>
      </c>
      <c r="N112" s="335"/>
      <c r="O112" s="162">
        <f t="shared" si="15"/>
        <v>0</v>
      </c>
      <c r="P112" s="162">
        <f t="shared" si="16"/>
        <v>0</v>
      </c>
    </row>
    <row r="113" spans="2:16">
      <c r="B113" s="9" t="str">
        <f t="shared" si="18"/>
        <v/>
      </c>
      <c r="C113" s="157">
        <f>IF(D93="","-",+C112+1)</f>
        <v>2033</v>
      </c>
      <c r="D113" s="158">
        <f>IF(F112+SUM(E$99:E112)=D$92,F112,D$92-SUM(E$99:E112))</f>
        <v>2881460</v>
      </c>
      <c r="E113" s="164">
        <f t="shared" si="19"/>
        <v>98512</v>
      </c>
      <c r="F113" s="163">
        <f t="shared" si="20"/>
        <v>2782948</v>
      </c>
      <c r="G113" s="163">
        <f t="shared" si="21"/>
        <v>2832204</v>
      </c>
      <c r="H113" s="333">
        <f t="shared" si="12"/>
        <v>389480.08330946439</v>
      </c>
      <c r="I113" s="344">
        <f t="shared" si="17"/>
        <v>389480.08330946439</v>
      </c>
      <c r="J113" s="162">
        <f t="shared" si="13"/>
        <v>0</v>
      </c>
      <c r="K113" s="162"/>
      <c r="L113" s="335"/>
      <c r="M113" s="162">
        <f t="shared" si="14"/>
        <v>0</v>
      </c>
      <c r="N113" s="335"/>
      <c r="O113" s="162">
        <f t="shared" si="15"/>
        <v>0</v>
      </c>
      <c r="P113" s="162">
        <f t="shared" si="16"/>
        <v>0</v>
      </c>
    </row>
    <row r="114" spans="2:16">
      <c r="B114" s="9" t="str">
        <f t="shared" si="18"/>
        <v/>
      </c>
      <c r="C114" s="157">
        <f>IF(D93="","-",+C113+1)</f>
        <v>2034</v>
      </c>
      <c r="D114" s="158">
        <f>IF(F113+SUM(E$99:E113)=D$92,F113,D$92-SUM(E$99:E113))</f>
        <v>2782948</v>
      </c>
      <c r="E114" s="164">
        <f t="shared" si="19"/>
        <v>98512</v>
      </c>
      <c r="F114" s="163">
        <f t="shared" si="20"/>
        <v>2684436</v>
      </c>
      <c r="G114" s="163">
        <f t="shared" si="21"/>
        <v>2733692</v>
      </c>
      <c r="H114" s="333">
        <f t="shared" si="12"/>
        <v>379359.39715021104</v>
      </c>
      <c r="I114" s="344">
        <f t="shared" si="17"/>
        <v>379359.39715021104</v>
      </c>
      <c r="J114" s="162">
        <f t="shared" si="13"/>
        <v>0</v>
      </c>
      <c r="K114" s="162"/>
      <c r="L114" s="335"/>
      <c r="M114" s="162">
        <f t="shared" si="14"/>
        <v>0</v>
      </c>
      <c r="N114" s="335"/>
      <c r="O114" s="162">
        <f t="shared" si="15"/>
        <v>0</v>
      </c>
      <c r="P114" s="162">
        <f t="shared" si="16"/>
        <v>0</v>
      </c>
    </row>
    <row r="115" spans="2:16">
      <c r="B115" s="9" t="str">
        <f t="shared" si="18"/>
        <v/>
      </c>
      <c r="C115" s="157">
        <f>IF(D93="","-",+C114+1)</f>
        <v>2035</v>
      </c>
      <c r="D115" s="158">
        <f>IF(F114+SUM(E$99:E114)=D$92,F114,D$92-SUM(E$99:E114))</f>
        <v>2684436</v>
      </c>
      <c r="E115" s="164">
        <f t="shared" si="19"/>
        <v>98512</v>
      </c>
      <c r="F115" s="163">
        <f t="shared" si="20"/>
        <v>2585924</v>
      </c>
      <c r="G115" s="163">
        <f t="shared" si="21"/>
        <v>2635180</v>
      </c>
      <c r="H115" s="333">
        <f t="shared" si="12"/>
        <v>369238.71099095774</v>
      </c>
      <c r="I115" s="344">
        <f t="shared" si="17"/>
        <v>369238.71099095774</v>
      </c>
      <c r="J115" s="162">
        <f t="shared" si="13"/>
        <v>0</v>
      </c>
      <c r="K115" s="162"/>
      <c r="L115" s="335"/>
      <c r="M115" s="162">
        <f t="shared" si="14"/>
        <v>0</v>
      </c>
      <c r="N115" s="335"/>
      <c r="O115" s="162">
        <f t="shared" si="15"/>
        <v>0</v>
      </c>
      <c r="P115" s="162">
        <f t="shared" si="16"/>
        <v>0</v>
      </c>
    </row>
    <row r="116" spans="2:16">
      <c r="B116" s="9" t="str">
        <f t="shared" si="18"/>
        <v/>
      </c>
      <c r="C116" s="157">
        <f>IF(D93="","-",+C115+1)</f>
        <v>2036</v>
      </c>
      <c r="D116" s="158">
        <f>IF(F115+SUM(E$99:E115)=D$92,F115,D$92-SUM(E$99:E115))</f>
        <v>2585924</v>
      </c>
      <c r="E116" s="164">
        <f t="shared" si="19"/>
        <v>98512</v>
      </c>
      <c r="F116" s="163">
        <f t="shared" si="20"/>
        <v>2487412</v>
      </c>
      <c r="G116" s="163">
        <f t="shared" si="21"/>
        <v>2536668</v>
      </c>
      <c r="H116" s="333">
        <f t="shared" si="12"/>
        <v>359118.02483170439</v>
      </c>
      <c r="I116" s="344">
        <f t="shared" si="17"/>
        <v>359118.02483170439</v>
      </c>
      <c r="J116" s="162">
        <f t="shared" si="13"/>
        <v>0</v>
      </c>
      <c r="K116" s="162"/>
      <c r="L116" s="335"/>
      <c r="M116" s="162">
        <f t="shared" si="14"/>
        <v>0</v>
      </c>
      <c r="N116" s="335"/>
      <c r="O116" s="162">
        <f t="shared" si="15"/>
        <v>0</v>
      </c>
      <c r="P116" s="162">
        <f t="shared" si="16"/>
        <v>0</v>
      </c>
    </row>
    <row r="117" spans="2:16">
      <c r="B117" s="9" t="str">
        <f t="shared" si="18"/>
        <v/>
      </c>
      <c r="C117" s="157">
        <f>IF(D93="","-",+C116+1)</f>
        <v>2037</v>
      </c>
      <c r="D117" s="158">
        <f>IF(F116+SUM(E$99:E116)=D$92,F116,D$92-SUM(E$99:E116))</f>
        <v>2487412</v>
      </c>
      <c r="E117" s="164">
        <f t="shared" si="19"/>
        <v>98512</v>
      </c>
      <c r="F117" s="163">
        <f t="shared" si="20"/>
        <v>2388900</v>
      </c>
      <c r="G117" s="163">
        <f t="shared" si="21"/>
        <v>2438156</v>
      </c>
      <c r="H117" s="333">
        <f t="shared" si="12"/>
        <v>348997.33867245103</v>
      </c>
      <c r="I117" s="344">
        <f t="shared" si="17"/>
        <v>348997.33867245103</v>
      </c>
      <c r="J117" s="162">
        <f t="shared" si="13"/>
        <v>0</v>
      </c>
      <c r="K117" s="162"/>
      <c r="L117" s="335"/>
      <c r="M117" s="162">
        <f t="shared" si="14"/>
        <v>0</v>
      </c>
      <c r="N117" s="335"/>
      <c r="O117" s="162">
        <f t="shared" si="15"/>
        <v>0</v>
      </c>
      <c r="P117" s="162">
        <f t="shared" si="16"/>
        <v>0</v>
      </c>
    </row>
    <row r="118" spans="2:16">
      <c r="B118" s="9" t="str">
        <f t="shared" si="18"/>
        <v/>
      </c>
      <c r="C118" s="157">
        <f>IF(D93="","-",+C117+1)</f>
        <v>2038</v>
      </c>
      <c r="D118" s="158">
        <f>IF(F117+SUM(E$99:E117)=D$92,F117,D$92-SUM(E$99:E117))</f>
        <v>2388900</v>
      </c>
      <c r="E118" s="164">
        <f t="shared" si="19"/>
        <v>98512</v>
      </c>
      <c r="F118" s="163">
        <f t="shared" si="20"/>
        <v>2290388</v>
      </c>
      <c r="G118" s="163">
        <f t="shared" si="21"/>
        <v>2339644</v>
      </c>
      <c r="H118" s="333">
        <f t="shared" si="12"/>
        <v>338876.65251319768</v>
      </c>
      <c r="I118" s="344">
        <f t="shared" si="17"/>
        <v>338876.65251319768</v>
      </c>
      <c r="J118" s="162">
        <f t="shared" si="13"/>
        <v>0</v>
      </c>
      <c r="K118" s="162"/>
      <c r="L118" s="335"/>
      <c r="M118" s="162">
        <f t="shared" si="14"/>
        <v>0</v>
      </c>
      <c r="N118" s="335"/>
      <c r="O118" s="162">
        <f t="shared" si="15"/>
        <v>0</v>
      </c>
      <c r="P118" s="162">
        <f t="shared" si="16"/>
        <v>0</v>
      </c>
    </row>
    <row r="119" spans="2:16">
      <c r="B119" s="9" t="str">
        <f t="shared" si="18"/>
        <v/>
      </c>
      <c r="C119" s="157">
        <f>IF(D93="","-",+C118+1)</f>
        <v>2039</v>
      </c>
      <c r="D119" s="158">
        <f>IF(F118+SUM(E$99:E118)=D$92,F118,D$92-SUM(E$99:E118))</f>
        <v>2290388</v>
      </c>
      <c r="E119" s="164">
        <f t="shared" si="19"/>
        <v>98512</v>
      </c>
      <c r="F119" s="163">
        <f t="shared" si="20"/>
        <v>2191876</v>
      </c>
      <c r="G119" s="163">
        <f t="shared" si="21"/>
        <v>2241132</v>
      </c>
      <c r="H119" s="333">
        <f t="shared" si="12"/>
        <v>328755.96635394439</v>
      </c>
      <c r="I119" s="344">
        <f t="shared" si="17"/>
        <v>328755.96635394439</v>
      </c>
      <c r="J119" s="162">
        <f t="shared" si="13"/>
        <v>0</v>
      </c>
      <c r="K119" s="162"/>
      <c r="L119" s="335"/>
      <c r="M119" s="162">
        <f t="shared" si="14"/>
        <v>0</v>
      </c>
      <c r="N119" s="335"/>
      <c r="O119" s="162">
        <f t="shared" si="15"/>
        <v>0</v>
      </c>
      <c r="P119" s="162">
        <f t="shared" si="16"/>
        <v>0</v>
      </c>
    </row>
    <row r="120" spans="2:16">
      <c r="B120" s="9" t="str">
        <f t="shared" si="18"/>
        <v/>
      </c>
      <c r="C120" s="157">
        <f>IF(D93="","-",+C119+1)</f>
        <v>2040</v>
      </c>
      <c r="D120" s="158">
        <f>IF(F119+SUM(E$99:E119)=D$92,F119,D$92-SUM(E$99:E119))</f>
        <v>2191876</v>
      </c>
      <c r="E120" s="164">
        <f t="shared" si="19"/>
        <v>98512</v>
      </c>
      <c r="F120" s="163">
        <f t="shared" si="20"/>
        <v>2093364</v>
      </c>
      <c r="G120" s="163">
        <f t="shared" si="21"/>
        <v>2142620</v>
      </c>
      <c r="H120" s="333">
        <f t="shared" si="12"/>
        <v>318635.28019469103</v>
      </c>
      <c r="I120" s="344">
        <f t="shared" si="17"/>
        <v>318635.28019469103</v>
      </c>
      <c r="J120" s="162">
        <f t="shared" si="13"/>
        <v>0</v>
      </c>
      <c r="K120" s="162"/>
      <c r="L120" s="335"/>
      <c r="M120" s="162">
        <f t="shared" si="14"/>
        <v>0</v>
      </c>
      <c r="N120" s="335"/>
      <c r="O120" s="162">
        <f t="shared" si="15"/>
        <v>0</v>
      </c>
      <c r="P120" s="162">
        <f t="shared" si="16"/>
        <v>0</v>
      </c>
    </row>
    <row r="121" spans="2:16">
      <c r="B121" s="9" t="str">
        <f t="shared" si="18"/>
        <v/>
      </c>
      <c r="C121" s="157">
        <f>IF(D93="","-",+C120+1)</f>
        <v>2041</v>
      </c>
      <c r="D121" s="158">
        <f>IF(F120+SUM(E$99:E120)=D$92,F120,D$92-SUM(E$99:E120))</f>
        <v>2093364</v>
      </c>
      <c r="E121" s="164">
        <f t="shared" si="19"/>
        <v>98512</v>
      </c>
      <c r="F121" s="163">
        <f t="shared" si="20"/>
        <v>1994852</v>
      </c>
      <c r="G121" s="163">
        <f t="shared" si="21"/>
        <v>2044108</v>
      </c>
      <c r="H121" s="333">
        <f t="shared" si="12"/>
        <v>308514.59403543768</v>
      </c>
      <c r="I121" s="344">
        <f t="shared" si="17"/>
        <v>308514.59403543768</v>
      </c>
      <c r="J121" s="162">
        <f t="shared" si="13"/>
        <v>0</v>
      </c>
      <c r="K121" s="162"/>
      <c r="L121" s="335"/>
      <c r="M121" s="162">
        <f t="shared" si="14"/>
        <v>0</v>
      </c>
      <c r="N121" s="335"/>
      <c r="O121" s="162">
        <f t="shared" si="15"/>
        <v>0</v>
      </c>
      <c r="P121" s="162">
        <f t="shared" si="16"/>
        <v>0</v>
      </c>
    </row>
    <row r="122" spans="2:16">
      <c r="B122" s="9" t="str">
        <f t="shared" si="18"/>
        <v/>
      </c>
      <c r="C122" s="157">
        <f>IF(D93="","-",+C121+1)</f>
        <v>2042</v>
      </c>
      <c r="D122" s="158">
        <f>IF(F121+SUM(E$99:E121)=D$92,F121,D$92-SUM(E$99:E121))</f>
        <v>1994852</v>
      </c>
      <c r="E122" s="164">
        <f t="shared" si="19"/>
        <v>98512</v>
      </c>
      <c r="F122" s="163">
        <f t="shared" si="20"/>
        <v>1896340</v>
      </c>
      <c r="G122" s="163">
        <f t="shared" si="21"/>
        <v>1945596</v>
      </c>
      <c r="H122" s="333">
        <f t="shared" si="12"/>
        <v>298393.90787618433</v>
      </c>
      <c r="I122" s="344">
        <f t="shared" si="17"/>
        <v>298393.90787618433</v>
      </c>
      <c r="J122" s="162">
        <f t="shared" si="13"/>
        <v>0</v>
      </c>
      <c r="K122" s="162"/>
      <c r="L122" s="335"/>
      <c r="M122" s="162">
        <f t="shared" si="14"/>
        <v>0</v>
      </c>
      <c r="N122" s="335"/>
      <c r="O122" s="162">
        <f t="shared" si="15"/>
        <v>0</v>
      </c>
      <c r="P122" s="162">
        <f t="shared" si="16"/>
        <v>0</v>
      </c>
    </row>
    <row r="123" spans="2:16">
      <c r="B123" s="9" t="str">
        <f t="shared" si="18"/>
        <v/>
      </c>
      <c r="C123" s="157">
        <f>IF(D93="","-",+C122+1)</f>
        <v>2043</v>
      </c>
      <c r="D123" s="158">
        <f>IF(F122+SUM(E$99:E122)=D$92,F122,D$92-SUM(E$99:E122))</f>
        <v>1896340</v>
      </c>
      <c r="E123" s="164">
        <f t="shared" si="19"/>
        <v>98512</v>
      </c>
      <c r="F123" s="163">
        <f t="shared" si="20"/>
        <v>1797828</v>
      </c>
      <c r="G123" s="163">
        <f t="shared" si="21"/>
        <v>1847084</v>
      </c>
      <c r="H123" s="333">
        <f t="shared" si="12"/>
        <v>288273.22171693097</v>
      </c>
      <c r="I123" s="344">
        <f t="shared" si="17"/>
        <v>288273.22171693097</v>
      </c>
      <c r="J123" s="162">
        <f t="shared" si="13"/>
        <v>0</v>
      </c>
      <c r="K123" s="162"/>
      <c r="L123" s="335"/>
      <c r="M123" s="162">
        <f t="shared" si="14"/>
        <v>0</v>
      </c>
      <c r="N123" s="335"/>
      <c r="O123" s="162">
        <f t="shared" si="15"/>
        <v>0</v>
      </c>
      <c r="P123" s="162">
        <f t="shared" si="16"/>
        <v>0</v>
      </c>
    </row>
    <row r="124" spans="2:16">
      <c r="B124" s="9" t="str">
        <f t="shared" si="18"/>
        <v/>
      </c>
      <c r="C124" s="157">
        <f>IF(D93="","-",+C123+1)</f>
        <v>2044</v>
      </c>
      <c r="D124" s="158">
        <f>IF(F123+SUM(E$99:E123)=D$92,F123,D$92-SUM(E$99:E123))</f>
        <v>1797828</v>
      </c>
      <c r="E124" s="164">
        <f t="shared" si="19"/>
        <v>98512</v>
      </c>
      <c r="F124" s="163">
        <f t="shared" si="20"/>
        <v>1699316</v>
      </c>
      <c r="G124" s="163">
        <f t="shared" si="21"/>
        <v>1748572</v>
      </c>
      <c r="H124" s="333">
        <f t="shared" si="12"/>
        <v>278152.53555767762</v>
      </c>
      <c r="I124" s="344">
        <f t="shared" si="17"/>
        <v>278152.53555767762</v>
      </c>
      <c r="J124" s="162">
        <f t="shared" si="13"/>
        <v>0</v>
      </c>
      <c r="K124" s="162"/>
      <c r="L124" s="335"/>
      <c r="M124" s="162">
        <f t="shared" si="14"/>
        <v>0</v>
      </c>
      <c r="N124" s="335"/>
      <c r="O124" s="162">
        <f t="shared" si="15"/>
        <v>0</v>
      </c>
      <c r="P124" s="162">
        <f t="shared" si="16"/>
        <v>0</v>
      </c>
    </row>
    <row r="125" spans="2:16">
      <c r="B125" s="9" t="str">
        <f t="shared" si="18"/>
        <v/>
      </c>
      <c r="C125" s="157">
        <f>IF(D93="","-",+C124+1)</f>
        <v>2045</v>
      </c>
      <c r="D125" s="158">
        <f>IF(F124+SUM(E$99:E124)=D$92,F124,D$92-SUM(E$99:E124))</f>
        <v>1699316</v>
      </c>
      <c r="E125" s="164">
        <f t="shared" si="19"/>
        <v>98512</v>
      </c>
      <c r="F125" s="163">
        <f t="shared" si="20"/>
        <v>1600804</v>
      </c>
      <c r="G125" s="163">
        <f t="shared" si="21"/>
        <v>1650060</v>
      </c>
      <c r="H125" s="333">
        <f t="shared" si="12"/>
        <v>268031.84939842427</v>
      </c>
      <c r="I125" s="344">
        <f t="shared" si="17"/>
        <v>268031.84939842427</v>
      </c>
      <c r="J125" s="162">
        <f t="shared" si="13"/>
        <v>0</v>
      </c>
      <c r="K125" s="162"/>
      <c r="L125" s="335"/>
      <c r="M125" s="162">
        <f t="shared" si="14"/>
        <v>0</v>
      </c>
      <c r="N125" s="335"/>
      <c r="O125" s="162">
        <f t="shared" si="15"/>
        <v>0</v>
      </c>
      <c r="P125" s="162">
        <f t="shared" si="16"/>
        <v>0</v>
      </c>
    </row>
    <row r="126" spans="2:16">
      <c r="B126" s="9" t="str">
        <f t="shared" si="18"/>
        <v/>
      </c>
      <c r="C126" s="157">
        <f>IF(D93="","-",+C125+1)</f>
        <v>2046</v>
      </c>
      <c r="D126" s="158">
        <f>IF(F125+SUM(E$99:E125)=D$92,F125,D$92-SUM(E$99:E125))</f>
        <v>1600804</v>
      </c>
      <c r="E126" s="164">
        <f t="shared" si="19"/>
        <v>98512</v>
      </c>
      <c r="F126" s="163">
        <f t="shared" si="20"/>
        <v>1502292</v>
      </c>
      <c r="G126" s="163">
        <f t="shared" si="21"/>
        <v>1551548</v>
      </c>
      <c r="H126" s="333">
        <f t="shared" si="12"/>
        <v>257911.16323917094</v>
      </c>
      <c r="I126" s="344">
        <f t="shared" si="17"/>
        <v>257911.16323917094</v>
      </c>
      <c r="J126" s="162">
        <f t="shared" si="13"/>
        <v>0</v>
      </c>
      <c r="K126" s="162"/>
      <c r="L126" s="335"/>
      <c r="M126" s="162">
        <f t="shared" si="14"/>
        <v>0</v>
      </c>
      <c r="N126" s="335"/>
      <c r="O126" s="162">
        <f t="shared" si="15"/>
        <v>0</v>
      </c>
      <c r="P126" s="162">
        <f t="shared" si="16"/>
        <v>0</v>
      </c>
    </row>
    <row r="127" spans="2:16">
      <c r="B127" s="9" t="str">
        <f t="shared" si="18"/>
        <v/>
      </c>
      <c r="C127" s="157">
        <f>IF(D93="","-",+C126+1)</f>
        <v>2047</v>
      </c>
      <c r="D127" s="158">
        <f>IF(F126+SUM(E$99:E126)=D$92,F126,D$92-SUM(E$99:E126))</f>
        <v>1502292</v>
      </c>
      <c r="E127" s="164">
        <f t="shared" si="19"/>
        <v>98512</v>
      </c>
      <c r="F127" s="163">
        <f t="shared" si="20"/>
        <v>1403780</v>
      </c>
      <c r="G127" s="163">
        <f t="shared" si="21"/>
        <v>1453036</v>
      </c>
      <c r="H127" s="333">
        <f t="shared" si="12"/>
        <v>247790.47707991759</v>
      </c>
      <c r="I127" s="344">
        <f t="shared" si="17"/>
        <v>247790.47707991759</v>
      </c>
      <c r="J127" s="162">
        <f t="shared" si="13"/>
        <v>0</v>
      </c>
      <c r="K127" s="162"/>
      <c r="L127" s="335"/>
      <c r="M127" s="162">
        <f t="shared" si="14"/>
        <v>0</v>
      </c>
      <c r="N127" s="335"/>
      <c r="O127" s="162">
        <f t="shared" si="15"/>
        <v>0</v>
      </c>
      <c r="P127" s="162">
        <f t="shared" si="16"/>
        <v>0</v>
      </c>
    </row>
    <row r="128" spans="2:16">
      <c r="B128" s="9" t="str">
        <f t="shared" si="18"/>
        <v/>
      </c>
      <c r="C128" s="157">
        <f>IF(D93="","-",+C127+1)</f>
        <v>2048</v>
      </c>
      <c r="D128" s="158">
        <f>IF(F127+SUM(E$99:E127)=D$92,F127,D$92-SUM(E$99:E127))</f>
        <v>1403780</v>
      </c>
      <c r="E128" s="164">
        <f t="shared" si="19"/>
        <v>98512</v>
      </c>
      <c r="F128" s="163">
        <f t="shared" si="20"/>
        <v>1305268</v>
      </c>
      <c r="G128" s="163">
        <f t="shared" si="21"/>
        <v>1354524</v>
      </c>
      <c r="H128" s="333">
        <f t="shared" si="12"/>
        <v>237669.79092066424</v>
      </c>
      <c r="I128" s="344">
        <f t="shared" si="17"/>
        <v>237669.79092066424</v>
      </c>
      <c r="J128" s="162">
        <f t="shared" si="13"/>
        <v>0</v>
      </c>
      <c r="K128" s="162"/>
      <c r="L128" s="335"/>
      <c r="M128" s="162">
        <f t="shared" si="14"/>
        <v>0</v>
      </c>
      <c r="N128" s="335"/>
      <c r="O128" s="162">
        <f t="shared" si="15"/>
        <v>0</v>
      </c>
      <c r="P128" s="162">
        <f t="shared" si="16"/>
        <v>0</v>
      </c>
    </row>
    <row r="129" spans="2:16">
      <c r="B129" s="9" t="str">
        <f t="shared" si="18"/>
        <v/>
      </c>
      <c r="C129" s="157">
        <f>IF(D93="","-",+C128+1)</f>
        <v>2049</v>
      </c>
      <c r="D129" s="158">
        <f>IF(F128+SUM(E$99:E128)=D$92,F128,D$92-SUM(E$99:E128))</f>
        <v>1305268</v>
      </c>
      <c r="E129" s="164">
        <f t="shared" si="19"/>
        <v>98512</v>
      </c>
      <c r="F129" s="163">
        <f t="shared" si="20"/>
        <v>1206756</v>
      </c>
      <c r="G129" s="163">
        <f t="shared" si="21"/>
        <v>1256012</v>
      </c>
      <c r="H129" s="333">
        <f t="shared" si="12"/>
        <v>227549.10476141091</v>
      </c>
      <c r="I129" s="344">
        <f t="shared" si="17"/>
        <v>227549.10476141091</v>
      </c>
      <c r="J129" s="162">
        <f t="shared" si="13"/>
        <v>0</v>
      </c>
      <c r="K129" s="162"/>
      <c r="L129" s="335"/>
      <c r="M129" s="162">
        <f t="shared" si="14"/>
        <v>0</v>
      </c>
      <c r="N129" s="335"/>
      <c r="O129" s="162">
        <f t="shared" si="15"/>
        <v>0</v>
      </c>
      <c r="P129" s="162">
        <f t="shared" si="16"/>
        <v>0</v>
      </c>
    </row>
    <row r="130" spans="2:16">
      <c r="B130" s="9" t="str">
        <f t="shared" si="18"/>
        <v/>
      </c>
      <c r="C130" s="157">
        <f>IF(D93="","-",+C129+1)</f>
        <v>2050</v>
      </c>
      <c r="D130" s="158">
        <f>IF(F129+SUM(E$99:E129)=D$92,F129,D$92-SUM(E$99:E129))</f>
        <v>1206756</v>
      </c>
      <c r="E130" s="164">
        <f t="shared" si="19"/>
        <v>98512</v>
      </c>
      <c r="F130" s="163">
        <f t="shared" si="20"/>
        <v>1108244</v>
      </c>
      <c r="G130" s="163">
        <f t="shared" si="21"/>
        <v>1157500</v>
      </c>
      <c r="H130" s="333">
        <f t="shared" si="12"/>
        <v>217428.41860215756</v>
      </c>
      <c r="I130" s="344">
        <f t="shared" si="17"/>
        <v>217428.41860215756</v>
      </c>
      <c r="J130" s="162">
        <f t="shared" si="13"/>
        <v>0</v>
      </c>
      <c r="K130" s="162"/>
      <c r="L130" s="335"/>
      <c r="M130" s="162">
        <f t="shared" si="14"/>
        <v>0</v>
      </c>
      <c r="N130" s="335"/>
      <c r="O130" s="162">
        <f t="shared" si="15"/>
        <v>0</v>
      </c>
      <c r="P130" s="162">
        <f t="shared" si="16"/>
        <v>0</v>
      </c>
    </row>
    <row r="131" spans="2:16">
      <c r="B131" s="9" t="str">
        <f t="shared" si="18"/>
        <v/>
      </c>
      <c r="C131" s="157">
        <f>IF(D93="","-",+C130+1)</f>
        <v>2051</v>
      </c>
      <c r="D131" s="158">
        <f>IF(F130+SUM(E$99:E130)=D$92,F130,D$92-SUM(E$99:E130))</f>
        <v>1108244</v>
      </c>
      <c r="E131" s="164">
        <f t="shared" si="19"/>
        <v>98512</v>
      </c>
      <c r="F131" s="163">
        <f t="shared" si="20"/>
        <v>1009732</v>
      </c>
      <c r="G131" s="163">
        <f t="shared" si="21"/>
        <v>1058988</v>
      </c>
      <c r="H131" s="333">
        <f t="shared" si="12"/>
        <v>207307.73244290421</v>
      </c>
      <c r="I131" s="344">
        <f t="shared" si="17"/>
        <v>207307.73244290421</v>
      </c>
      <c r="J131" s="162">
        <f t="shared" ref="J131:J154" si="22">+I541-H541</f>
        <v>0</v>
      </c>
      <c r="K131" s="162"/>
      <c r="L131" s="335"/>
      <c r="M131" s="162">
        <f t="shared" ref="M131:M154" si="23">IF(L541&lt;&gt;0,+H541-L541,0)</f>
        <v>0</v>
      </c>
      <c r="N131" s="335"/>
      <c r="O131" s="162">
        <f t="shared" ref="O131:O154" si="24">IF(N541&lt;&gt;0,+I541-N541,0)</f>
        <v>0</v>
      </c>
      <c r="P131" s="162">
        <f t="shared" ref="P131:P154" si="25">+O541-M541</f>
        <v>0</v>
      </c>
    </row>
    <row r="132" spans="2:16">
      <c r="B132" s="9" t="str">
        <f t="shared" si="18"/>
        <v/>
      </c>
      <c r="C132" s="157">
        <f>IF(D93="","-",+C131+1)</f>
        <v>2052</v>
      </c>
      <c r="D132" s="158">
        <f>IF(F131+SUM(E$99:E131)=D$92,F131,D$92-SUM(E$99:E131))</f>
        <v>1009732</v>
      </c>
      <c r="E132" s="164">
        <f t="shared" si="19"/>
        <v>98512</v>
      </c>
      <c r="F132" s="163">
        <f t="shared" si="20"/>
        <v>911220</v>
      </c>
      <c r="G132" s="163">
        <f t="shared" si="21"/>
        <v>960476</v>
      </c>
      <c r="H132" s="333">
        <f t="shared" si="12"/>
        <v>197187.04628365085</v>
      </c>
      <c r="I132" s="344">
        <f t="shared" si="17"/>
        <v>197187.04628365085</v>
      </c>
      <c r="J132" s="162">
        <f t="shared" si="22"/>
        <v>0</v>
      </c>
      <c r="K132" s="162"/>
      <c r="L132" s="335"/>
      <c r="M132" s="162">
        <f t="shared" si="23"/>
        <v>0</v>
      </c>
      <c r="N132" s="335"/>
      <c r="O132" s="162">
        <f t="shared" si="24"/>
        <v>0</v>
      </c>
      <c r="P132" s="162">
        <f t="shared" si="25"/>
        <v>0</v>
      </c>
    </row>
    <row r="133" spans="2:16">
      <c r="B133" s="9" t="str">
        <f t="shared" si="18"/>
        <v/>
      </c>
      <c r="C133" s="157">
        <f>IF(D93="","-",+C132+1)</f>
        <v>2053</v>
      </c>
      <c r="D133" s="158">
        <f>IF(F132+SUM(E$99:E132)=D$92,F132,D$92-SUM(E$99:E132))</f>
        <v>911220</v>
      </c>
      <c r="E133" s="164">
        <f t="shared" si="19"/>
        <v>98512</v>
      </c>
      <c r="F133" s="163">
        <f t="shared" si="20"/>
        <v>812708</v>
      </c>
      <c r="G133" s="163">
        <f t="shared" si="21"/>
        <v>861964</v>
      </c>
      <c r="H133" s="333">
        <f t="shared" si="12"/>
        <v>187066.36012439753</v>
      </c>
      <c r="I133" s="344">
        <f t="shared" si="17"/>
        <v>187066.36012439753</v>
      </c>
      <c r="J133" s="162">
        <f t="shared" si="22"/>
        <v>0</v>
      </c>
      <c r="K133" s="162"/>
      <c r="L133" s="335"/>
      <c r="M133" s="162">
        <f t="shared" si="23"/>
        <v>0</v>
      </c>
      <c r="N133" s="335"/>
      <c r="O133" s="162">
        <f t="shared" si="24"/>
        <v>0</v>
      </c>
      <c r="P133" s="162">
        <f t="shared" si="25"/>
        <v>0</v>
      </c>
    </row>
    <row r="134" spans="2:16">
      <c r="B134" s="9" t="str">
        <f t="shared" si="18"/>
        <v/>
      </c>
      <c r="C134" s="157">
        <f>IF(D93="","-",+C133+1)</f>
        <v>2054</v>
      </c>
      <c r="D134" s="158">
        <f>IF(F133+SUM(E$99:E133)=D$92,F133,D$92-SUM(E$99:E133))</f>
        <v>812708</v>
      </c>
      <c r="E134" s="164">
        <f t="shared" si="19"/>
        <v>98512</v>
      </c>
      <c r="F134" s="163">
        <f t="shared" si="20"/>
        <v>714196</v>
      </c>
      <c r="G134" s="163">
        <f t="shared" si="21"/>
        <v>763452</v>
      </c>
      <c r="H134" s="333">
        <f t="shared" si="12"/>
        <v>176945.6739651442</v>
      </c>
      <c r="I134" s="344">
        <f t="shared" si="17"/>
        <v>176945.6739651442</v>
      </c>
      <c r="J134" s="162">
        <f t="shared" si="22"/>
        <v>0</v>
      </c>
      <c r="K134" s="162"/>
      <c r="L134" s="335"/>
      <c r="M134" s="162">
        <f t="shared" si="23"/>
        <v>0</v>
      </c>
      <c r="N134" s="335"/>
      <c r="O134" s="162">
        <f t="shared" si="24"/>
        <v>0</v>
      </c>
      <c r="P134" s="162">
        <f t="shared" si="25"/>
        <v>0</v>
      </c>
    </row>
    <row r="135" spans="2:16">
      <c r="B135" s="9" t="str">
        <f t="shared" si="18"/>
        <v/>
      </c>
      <c r="C135" s="157">
        <f>IF(D93="","-",+C134+1)</f>
        <v>2055</v>
      </c>
      <c r="D135" s="158">
        <f>IF(F134+SUM(E$99:E134)=D$92,F134,D$92-SUM(E$99:E134))</f>
        <v>714196</v>
      </c>
      <c r="E135" s="164">
        <f t="shared" si="19"/>
        <v>98512</v>
      </c>
      <c r="F135" s="163">
        <f t="shared" si="20"/>
        <v>615684</v>
      </c>
      <c r="G135" s="163">
        <f t="shared" si="21"/>
        <v>664940</v>
      </c>
      <c r="H135" s="333">
        <f t="shared" si="12"/>
        <v>166824.98780589085</v>
      </c>
      <c r="I135" s="344">
        <f t="shared" si="17"/>
        <v>166824.98780589085</v>
      </c>
      <c r="J135" s="162">
        <f t="shared" si="22"/>
        <v>0</v>
      </c>
      <c r="K135" s="162"/>
      <c r="L135" s="335"/>
      <c r="M135" s="162">
        <f t="shared" si="23"/>
        <v>0</v>
      </c>
      <c r="N135" s="335"/>
      <c r="O135" s="162">
        <f t="shared" si="24"/>
        <v>0</v>
      </c>
      <c r="P135" s="162">
        <f t="shared" si="25"/>
        <v>0</v>
      </c>
    </row>
    <row r="136" spans="2:16">
      <c r="B136" s="9" t="str">
        <f t="shared" si="18"/>
        <v/>
      </c>
      <c r="C136" s="157">
        <f>IF(D93="","-",+C135+1)</f>
        <v>2056</v>
      </c>
      <c r="D136" s="158">
        <f>IF(F135+SUM(E$99:E135)=D$92,F135,D$92-SUM(E$99:E135))</f>
        <v>615684</v>
      </c>
      <c r="E136" s="164">
        <f t="shared" si="19"/>
        <v>98512</v>
      </c>
      <c r="F136" s="163">
        <f t="shared" si="20"/>
        <v>517172</v>
      </c>
      <c r="G136" s="163">
        <f t="shared" si="21"/>
        <v>566428</v>
      </c>
      <c r="H136" s="333">
        <f t="shared" si="12"/>
        <v>156704.3016466375</v>
      </c>
      <c r="I136" s="344">
        <f t="shared" si="17"/>
        <v>156704.3016466375</v>
      </c>
      <c r="J136" s="162">
        <f t="shared" si="22"/>
        <v>0</v>
      </c>
      <c r="K136" s="162"/>
      <c r="L136" s="335"/>
      <c r="M136" s="162">
        <f t="shared" si="23"/>
        <v>0</v>
      </c>
      <c r="N136" s="335"/>
      <c r="O136" s="162">
        <f t="shared" si="24"/>
        <v>0</v>
      </c>
      <c r="P136" s="162">
        <f t="shared" si="25"/>
        <v>0</v>
      </c>
    </row>
    <row r="137" spans="2:16">
      <c r="B137" s="9" t="str">
        <f t="shared" si="18"/>
        <v/>
      </c>
      <c r="C137" s="157">
        <f>IF(D93="","-",+C136+1)</f>
        <v>2057</v>
      </c>
      <c r="D137" s="158">
        <f>IF(F136+SUM(E$99:E136)=D$92,F136,D$92-SUM(E$99:E136))</f>
        <v>517172</v>
      </c>
      <c r="E137" s="164">
        <f t="shared" si="19"/>
        <v>98512</v>
      </c>
      <c r="F137" s="163">
        <f t="shared" si="20"/>
        <v>418660</v>
      </c>
      <c r="G137" s="163">
        <f t="shared" si="21"/>
        <v>467916</v>
      </c>
      <c r="H137" s="333">
        <f t="shared" si="12"/>
        <v>146583.61548738414</v>
      </c>
      <c r="I137" s="344">
        <f t="shared" si="17"/>
        <v>146583.61548738414</v>
      </c>
      <c r="J137" s="162">
        <f t="shared" si="22"/>
        <v>0</v>
      </c>
      <c r="K137" s="162"/>
      <c r="L137" s="335"/>
      <c r="M137" s="162">
        <f t="shared" si="23"/>
        <v>0</v>
      </c>
      <c r="N137" s="335"/>
      <c r="O137" s="162">
        <f t="shared" si="24"/>
        <v>0</v>
      </c>
      <c r="P137" s="162">
        <f t="shared" si="25"/>
        <v>0</v>
      </c>
    </row>
    <row r="138" spans="2:16">
      <c r="B138" s="9" t="str">
        <f t="shared" si="18"/>
        <v/>
      </c>
      <c r="C138" s="157">
        <f>IF(D93="","-",+C137+1)</f>
        <v>2058</v>
      </c>
      <c r="D138" s="158">
        <f>IF(F137+SUM(E$99:E137)=D$92,F137,D$92-SUM(E$99:E137))</f>
        <v>418660</v>
      </c>
      <c r="E138" s="164">
        <f t="shared" si="19"/>
        <v>98512</v>
      </c>
      <c r="F138" s="163">
        <f t="shared" si="20"/>
        <v>320148</v>
      </c>
      <c r="G138" s="163">
        <f t="shared" si="21"/>
        <v>369404</v>
      </c>
      <c r="H138" s="333">
        <f t="shared" si="12"/>
        <v>136462.92932813079</v>
      </c>
      <c r="I138" s="344">
        <f t="shared" si="17"/>
        <v>136462.92932813079</v>
      </c>
      <c r="J138" s="162">
        <f t="shared" si="22"/>
        <v>0</v>
      </c>
      <c r="K138" s="162"/>
      <c r="L138" s="335"/>
      <c r="M138" s="162">
        <f t="shared" si="23"/>
        <v>0</v>
      </c>
      <c r="N138" s="335"/>
      <c r="O138" s="162">
        <f t="shared" si="24"/>
        <v>0</v>
      </c>
      <c r="P138" s="162">
        <f t="shared" si="25"/>
        <v>0</v>
      </c>
    </row>
    <row r="139" spans="2:16">
      <c r="B139" s="9" t="str">
        <f t="shared" si="18"/>
        <v/>
      </c>
      <c r="C139" s="157">
        <f>IF(D93="","-",+C138+1)</f>
        <v>2059</v>
      </c>
      <c r="D139" s="158">
        <f>IF(F138+SUM(E$99:E138)=D$92,F138,D$92-SUM(E$99:E138))</f>
        <v>320148</v>
      </c>
      <c r="E139" s="164">
        <f t="shared" si="19"/>
        <v>98512</v>
      </c>
      <c r="F139" s="163">
        <f t="shared" si="20"/>
        <v>221636</v>
      </c>
      <c r="G139" s="163">
        <f t="shared" si="21"/>
        <v>270892</v>
      </c>
      <c r="H139" s="333">
        <f t="shared" si="12"/>
        <v>126342.24316887747</v>
      </c>
      <c r="I139" s="344">
        <f t="shared" si="17"/>
        <v>126342.24316887747</v>
      </c>
      <c r="J139" s="162">
        <f t="shared" si="22"/>
        <v>0</v>
      </c>
      <c r="K139" s="162"/>
      <c r="L139" s="335"/>
      <c r="M139" s="162">
        <f t="shared" si="23"/>
        <v>0</v>
      </c>
      <c r="N139" s="335"/>
      <c r="O139" s="162">
        <f t="shared" si="24"/>
        <v>0</v>
      </c>
      <c r="P139" s="162">
        <f t="shared" si="25"/>
        <v>0</v>
      </c>
    </row>
    <row r="140" spans="2:16">
      <c r="B140" s="9" t="str">
        <f t="shared" si="18"/>
        <v/>
      </c>
      <c r="C140" s="157">
        <f>IF(D93="","-",+C139+1)</f>
        <v>2060</v>
      </c>
      <c r="D140" s="158">
        <f>IF(F139+SUM(E$99:E139)=D$92,F139,D$92-SUM(E$99:E139))</f>
        <v>221636</v>
      </c>
      <c r="E140" s="164">
        <f t="shared" si="19"/>
        <v>98512</v>
      </c>
      <c r="F140" s="163">
        <f t="shared" si="20"/>
        <v>123124</v>
      </c>
      <c r="G140" s="163">
        <f t="shared" si="21"/>
        <v>172380</v>
      </c>
      <c r="H140" s="333">
        <f t="shared" si="12"/>
        <v>116221.55700962411</v>
      </c>
      <c r="I140" s="344">
        <f t="shared" si="17"/>
        <v>116221.55700962411</v>
      </c>
      <c r="J140" s="162">
        <f t="shared" si="22"/>
        <v>0</v>
      </c>
      <c r="K140" s="162"/>
      <c r="L140" s="335"/>
      <c r="M140" s="162">
        <f t="shared" si="23"/>
        <v>0</v>
      </c>
      <c r="N140" s="335"/>
      <c r="O140" s="162">
        <f t="shared" si="24"/>
        <v>0</v>
      </c>
      <c r="P140" s="162">
        <f t="shared" si="25"/>
        <v>0</v>
      </c>
    </row>
    <row r="141" spans="2:16">
      <c r="B141" s="9" t="str">
        <f t="shared" si="18"/>
        <v/>
      </c>
      <c r="C141" s="157">
        <f>IF(D93="","-",+C140+1)</f>
        <v>2061</v>
      </c>
      <c r="D141" s="158">
        <f>IF(F140+SUM(E$99:E140)=D$92,F140,D$92-SUM(E$99:E140))</f>
        <v>123124</v>
      </c>
      <c r="E141" s="164">
        <f t="shared" si="19"/>
        <v>98512</v>
      </c>
      <c r="F141" s="163">
        <f t="shared" si="20"/>
        <v>24612</v>
      </c>
      <c r="G141" s="163">
        <f t="shared" si="21"/>
        <v>73868</v>
      </c>
      <c r="H141" s="333">
        <f t="shared" si="12"/>
        <v>106100.87085037077</v>
      </c>
      <c r="I141" s="344">
        <f t="shared" si="17"/>
        <v>106100.87085037077</v>
      </c>
      <c r="J141" s="162">
        <f t="shared" si="22"/>
        <v>0</v>
      </c>
      <c r="K141" s="162"/>
      <c r="L141" s="335"/>
      <c r="M141" s="162">
        <f t="shared" si="23"/>
        <v>0</v>
      </c>
      <c r="N141" s="335"/>
      <c r="O141" s="162">
        <f t="shared" si="24"/>
        <v>0</v>
      </c>
      <c r="P141" s="162">
        <f t="shared" si="25"/>
        <v>0</v>
      </c>
    </row>
    <row r="142" spans="2:16">
      <c r="B142" s="9" t="str">
        <f t="shared" si="18"/>
        <v/>
      </c>
      <c r="C142" s="157">
        <f>IF(D93="","-",+C141+1)</f>
        <v>2062</v>
      </c>
      <c r="D142" s="158">
        <f>IF(F141+SUM(E$99:E141)=D$92,F141,D$92-SUM(E$99:E141))</f>
        <v>24612</v>
      </c>
      <c r="E142" s="164">
        <f t="shared" si="19"/>
        <v>24612</v>
      </c>
      <c r="F142" s="163">
        <f t="shared" si="20"/>
        <v>0</v>
      </c>
      <c r="G142" s="163">
        <f t="shared" si="21"/>
        <v>12306</v>
      </c>
      <c r="H142" s="333">
        <f t="shared" si="12"/>
        <v>25876.263885372053</v>
      </c>
      <c r="I142" s="344">
        <f t="shared" si="17"/>
        <v>25876.263885372053</v>
      </c>
      <c r="J142" s="162">
        <f t="shared" si="22"/>
        <v>0</v>
      </c>
      <c r="K142" s="162"/>
      <c r="L142" s="335"/>
      <c r="M142" s="162">
        <f t="shared" si="23"/>
        <v>0</v>
      </c>
      <c r="N142" s="335"/>
      <c r="O142" s="162">
        <f t="shared" si="24"/>
        <v>0</v>
      </c>
      <c r="P142" s="162">
        <f t="shared" si="25"/>
        <v>0</v>
      </c>
    </row>
    <row r="143" spans="2:16">
      <c r="B143" s="9" t="str">
        <f t="shared" si="18"/>
        <v/>
      </c>
      <c r="C143" s="157">
        <f>IF(D93="","-",+C142+1)</f>
        <v>2063</v>
      </c>
      <c r="D143" s="158">
        <f>IF(F142+SUM(E$99:E142)=D$92,F142,D$92-SUM(E$99:E142))</f>
        <v>0</v>
      </c>
      <c r="E143" s="164">
        <f t="shared" si="19"/>
        <v>0</v>
      </c>
      <c r="F143" s="163">
        <f t="shared" si="20"/>
        <v>0</v>
      </c>
      <c r="G143" s="163">
        <f t="shared" si="21"/>
        <v>0</v>
      </c>
      <c r="H143" s="333">
        <f t="shared" si="12"/>
        <v>0</v>
      </c>
      <c r="I143" s="344">
        <f t="shared" si="17"/>
        <v>0</v>
      </c>
      <c r="J143" s="162">
        <f t="shared" si="22"/>
        <v>0</v>
      </c>
      <c r="K143" s="162"/>
      <c r="L143" s="335"/>
      <c r="M143" s="162">
        <f t="shared" si="23"/>
        <v>0</v>
      </c>
      <c r="N143" s="335"/>
      <c r="O143" s="162">
        <f t="shared" si="24"/>
        <v>0</v>
      </c>
      <c r="P143" s="162">
        <f t="shared" si="25"/>
        <v>0</v>
      </c>
    </row>
    <row r="144" spans="2:16">
      <c r="B144" s="9" t="str">
        <f t="shared" si="18"/>
        <v/>
      </c>
      <c r="C144" s="157">
        <f>IF(D93="","-",+C143+1)</f>
        <v>2064</v>
      </c>
      <c r="D144" s="158">
        <f>IF(F143+SUM(E$99:E143)=D$92,F143,D$92-SUM(E$99:E143))</f>
        <v>0</v>
      </c>
      <c r="E144" s="164">
        <f t="shared" si="19"/>
        <v>0</v>
      </c>
      <c r="F144" s="163">
        <f t="shared" si="20"/>
        <v>0</v>
      </c>
      <c r="G144" s="163">
        <f t="shared" si="21"/>
        <v>0</v>
      </c>
      <c r="H144" s="333">
        <f t="shared" si="12"/>
        <v>0</v>
      </c>
      <c r="I144" s="344">
        <f t="shared" si="17"/>
        <v>0</v>
      </c>
      <c r="J144" s="162">
        <f t="shared" si="22"/>
        <v>0</v>
      </c>
      <c r="K144" s="162"/>
      <c r="L144" s="335"/>
      <c r="M144" s="162">
        <f t="shared" si="23"/>
        <v>0</v>
      </c>
      <c r="N144" s="335"/>
      <c r="O144" s="162">
        <f t="shared" si="24"/>
        <v>0</v>
      </c>
      <c r="P144" s="162">
        <f t="shared" si="25"/>
        <v>0</v>
      </c>
    </row>
    <row r="145" spans="2:16">
      <c r="B145" s="9" t="str">
        <f t="shared" si="18"/>
        <v/>
      </c>
      <c r="C145" s="157">
        <f>IF(D93="","-",+C144+1)</f>
        <v>2065</v>
      </c>
      <c r="D145" s="158">
        <f>IF(F144+SUM(E$99:E144)=D$92,F144,D$92-SUM(E$99:E144))</f>
        <v>0</v>
      </c>
      <c r="E145" s="164">
        <f t="shared" si="19"/>
        <v>0</v>
      </c>
      <c r="F145" s="163">
        <f t="shared" si="20"/>
        <v>0</v>
      </c>
      <c r="G145" s="163">
        <f t="shared" si="21"/>
        <v>0</v>
      </c>
      <c r="H145" s="333">
        <f t="shared" si="12"/>
        <v>0</v>
      </c>
      <c r="I145" s="344">
        <f t="shared" si="17"/>
        <v>0</v>
      </c>
      <c r="J145" s="162">
        <f t="shared" si="22"/>
        <v>0</v>
      </c>
      <c r="K145" s="162"/>
      <c r="L145" s="335"/>
      <c r="M145" s="162">
        <f t="shared" si="23"/>
        <v>0</v>
      </c>
      <c r="N145" s="335"/>
      <c r="O145" s="162">
        <f t="shared" si="24"/>
        <v>0</v>
      </c>
      <c r="P145" s="162">
        <f t="shared" si="25"/>
        <v>0</v>
      </c>
    </row>
    <row r="146" spans="2:16">
      <c r="B146" s="9" t="str">
        <f t="shared" si="18"/>
        <v/>
      </c>
      <c r="C146" s="157">
        <f>IF(D93="","-",+C145+1)</f>
        <v>2066</v>
      </c>
      <c r="D146" s="158">
        <f>IF(F145+SUM(E$99:E145)=D$92,F145,D$92-SUM(E$99:E145))</f>
        <v>0</v>
      </c>
      <c r="E146" s="164">
        <f t="shared" si="19"/>
        <v>0</v>
      </c>
      <c r="F146" s="163">
        <f t="shared" si="20"/>
        <v>0</v>
      </c>
      <c r="G146" s="163">
        <f t="shared" si="21"/>
        <v>0</v>
      </c>
      <c r="H146" s="333">
        <f t="shared" si="12"/>
        <v>0</v>
      </c>
      <c r="I146" s="344">
        <f t="shared" si="17"/>
        <v>0</v>
      </c>
      <c r="J146" s="162">
        <f t="shared" si="22"/>
        <v>0</v>
      </c>
      <c r="K146" s="162"/>
      <c r="L146" s="335"/>
      <c r="M146" s="162">
        <f t="shared" si="23"/>
        <v>0</v>
      </c>
      <c r="N146" s="335"/>
      <c r="O146" s="162">
        <f t="shared" si="24"/>
        <v>0</v>
      </c>
      <c r="P146" s="162">
        <f t="shared" si="25"/>
        <v>0</v>
      </c>
    </row>
    <row r="147" spans="2:16">
      <c r="B147" s="9" t="str">
        <f t="shared" si="18"/>
        <v/>
      </c>
      <c r="C147" s="157">
        <f>IF(D93="","-",+C146+1)</f>
        <v>2067</v>
      </c>
      <c r="D147" s="158">
        <f>IF(F146+SUM(E$99:E146)=D$92,F146,D$92-SUM(E$99:E146))</f>
        <v>0</v>
      </c>
      <c r="E147" s="164">
        <f t="shared" si="19"/>
        <v>0</v>
      </c>
      <c r="F147" s="163">
        <f t="shared" si="20"/>
        <v>0</v>
      </c>
      <c r="G147" s="163">
        <f t="shared" si="21"/>
        <v>0</v>
      </c>
      <c r="H147" s="333">
        <f t="shared" si="12"/>
        <v>0</v>
      </c>
      <c r="I147" s="344">
        <f t="shared" si="17"/>
        <v>0</v>
      </c>
      <c r="J147" s="162">
        <f t="shared" si="22"/>
        <v>0</v>
      </c>
      <c r="K147" s="162"/>
      <c r="L147" s="335"/>
      <c r="M147" s="162">
        <f t="shared" si="23"/>
        <v>0</v>
      </c>
      <c r="N147" s="335"/>
      <c r="O147" s="162">
        <f t="shared" si="24"/>
        <v>0</v>
      </c>
      <c r="P147" s="162">
        <f t="shared" si="25"/>
        <v>0</v>
      </c>
    </row>
    <row r="148" spans="2:16">
      <c r="B148" s="9" t="str">
        <f t="shared" si="18"/>
        <v/>
      </c>
      <c r="C148" s="157">
        <f>IF(D93="","-",+C147+1)</f>
        <v>2068</v>
      </c>
      <c r="D148" s="158">
        <f>IF(F147+SUM(E$99:E147)=D$92,F147,D$92-SUM(E$99:E147))</f>
        <v>0</v>
      </c>
      <c r="E148" s="164">
        <f t="shared" si="19"/>
        <v>0</v>
      </c>
      <c r="F148" s="163">
        <f t="shared" si="20"/>
        <v>0</v>
      </c>
      <c r="G148" s="163">
        <f t="shared" si="21"/>
        <v>0</v>
      </c>
      <c r="H148" s="333">
        <f t="shared" si="12"/>
        <v>0</v>
      </c>
      <c r="I148" s="344">
        <f t="shared" si="17"/>
        <v>0</v>
      </c>
      <c r="J148" s="162">
        <f t="shared" si="22"/>
        <v>0</v>
      </c>
      <c r="K148" s="162"/>
      <c r="L148" s="335"/>
      <c r="M148" s="162">
        <f t="shared" si="23"/>
        <v>0</v>
      </c>
      <c r="N148" s="335"/>
      <c r="O148" s="162">
        <f t="shared" si="24"/>
        <v>0</v>
      </c>
      <c r="P148" s="162">
        <f t="shared" si="25"/>
        <v>0</v>
      </c>
    </row>
    <row r="149" spans="2:16">
      <c r="B149" s="9" t="str">
        <f t="shared" si="18"/>
        <v/>
      </c>
      <c r="C149" s="157">
        <f>IF(D93="","-",+C148+1)</f>
        <v>2069</v>
      </c>
      <c r="D149" s="158">
        <f>IF(F148+SUM(E$99:E148)=D$92,F148,D$92-SUM(E$99:E148))</f>
        <v>0</v>
      </c>
      <c r="E149" s="164">
        <f t="shared" si="19"/>
        <v>0</v>
      </c>
      <c r="F149" s="163">
        <f t="shared" si="20"/>
        <v>0</v>
      </c>
      <c r="G149" s="163">
        <f t="shared" si="21"/>
        <v>0</v>
      </c>
      <c r="H149" s="333">
        <f t="shared" si="12"/>
        <v>0</v>
      </c>
      <c r="I149" s="344">
        <f t="shared" si="17"/>
        <v>0</v>
      </c>
      <c r="J149" s="162">
        <f t="shared" si="22"/>
        <v>0</v>
      </c>
      <c r="K149" s="162"/>
      <c r="L149" s="335"/>
      <c r="M149" s="162">
        <f t="shared" si="23"/>
        <v>0</v>
      </c>
      <c r="N149" s="335"/>
      <c r="O149" s="162">
        <f t="shared" si="24"/>
        <v>0</v>
      </c>
      <c r="P149" s="162">
        <f t="shared" si="25"/>
        <v>0</v>
      </c>
    </row>
    <row r="150" spans="2:16">
      <c r="B150" s="9" t="str">
        <f t="shared" si="18"/>
        <v/>
      </c>
      <c r="C150" s="157">
        <f>IF(D93="","-",+C149+1)</f>
        <v>2070</v>
      </c>
      <c r="D150" s="158">
        <f>IF(F149+SUM(E$99:E149)=D$92,F149,D$92-SUM(E$99:E149))</f>
        <v>0</v>
      </c>
      <c r="E150" s="164">
        <f t="shared" si="19"/>
        <v>0</v>
      </c>
      <c r="F150" s="163">
        <f t="shared" si="20"/>
        <v>0</v>
      </c>
      <c r="G150" s="163">
        <f t="shared" si="21"/>
        <v>0</v>
      </c>
      <c r="H150" s="333">
        <f t="shared" si="12"/>
        <v>0</v>
      </c>
      <c r="I150" s="344">
        <f t="shared" si="17"/>
        <v>0</v>
      </c>
      <c r="J150" s="162">
        <f t="shared" si="22"/>
        <v>0</v>
      </c>
      <c r="K150" s="162"/>
      <c r="L150" s="335"/>
      <c r="M150" s="162">
        <f t="shared" si="23"/>
        <v>0</v>
      </c>
      <c r="N150" s="335"/>
      <c r="O150" s="162">
        <f t="shared" si="24"/>
        <v>0</v>
      </c>
      <c r="P150" s="162">
        <f t="shared" si="25"/>
        <v>0</v>
      </c>
    </row>
    <row r="151" spans="2:16">
      <c r="B151" s="9" t="str">
        <f t="shared" si="18"/>
        <v/>
      </c>
      <c r="C151" s="157">
        <f>IF(D93="","-",+C150+1)</f>
        <v>2071</v>
      </c>
      <c r="D151" s="158">
        <f>IF(F150+SUM(E$99:E150)=D$92,F150,D$92-SUM(E$99:E150))</f>
        <v>0</v>
      </c>
      <c r="E151" s="164">
        <f t="shared" si="19"/>
        <v>0</v>
      </c>
      <c r="F151" s="163">
        <f t="shared" si="20"/>
        <v>0</v>
      </c>
      <c r="G151" s="163">
        <f t="shared" si="21"/>
        <v>0</v>
      </c>
      <c r="H151" s="333">
        <f t="shared" si="12"/>
        <v>0</v>
      </c>
      <c r="I151" s="344">
        <f t="shared" si="17"/>
        <v>0</v>
      </c>
      <c r="J151" s="162">
        <f t="shared" si="22"/>
        <v>0</v>
      </c>
      <c r="K151" s="162"/>
      <c r="L151" s="335"/>
      <c r="M151" s="162">
        <f t="shared" si="23"/>
        <v>0</v>
      </c>
      <c r="N151" s="335"/>
      <c r="O151" s="162">
        <f t="shared" si="24"/>
        <v>0</v>
      </c>
      <c r="P151" s="162">
        <f t="shared" si="25"/>
        <v>0</v>
      </c>
    </row>
    <row r="152" spans="2:16">
      <c r="B152" s="9" t="str">
        <f t="shared" si="18"/>
        <v/>
      </c>
      <c r="C152" s="157">
        <f>IF(D93="","-",+C151+1)</f>
        <v>2072</v>
      </c>
      <c r="D152" s="158">
        <f>IF(F151+SUM(E$99:E151)=D$92,F151,D$92-SUM(E$99:E151))</f>
        <v>0</v>
      </c>
      <c r="E152" s="164">
        <f t="shared" si="19"/>
        <v>0</v>
      </c>
      <c r="F152" s="163">
        <f t="shared" si="20"/>
        <v>0</v>
      </c>
      <c r="G152" s="163">
        <f t="shared" si="21"/>
        <v>0</v>
      </c>
      <c r="H152" s="333">
        <f t="shared" si="12"/>
        <v>0</v>
      </c>
      <c r="I152" s="344">
        <f t="shared" si="17"/>
        <v>0</v>
      </c>
      <c r="J152" s="162">
        <f t="shared" si="22"/>
        <v>0</v>
      </c>
      <c r="K152" s="162"/>
      <c r="L152" s="335"/>
      <c r="M152" s="162">
        <f t="shared" si="23"/>
        <v>0</v>
      </c>
      <c r="N152" s="335"/>
      <c r="O152" s="162">
        <f t="shared" si="24"/>
        <v>0</v>
      </c>
      <c r="P152" s="162">
        <f t="shared" si="25"/>
        <v>0</v>
      </c>
    </row>
    <row r="153" spans="2:16">
      <c r="B153" s="9" t="str">
        <f t="shared" si="18"/>
        <v/>
      </c>
      <c r="C153" s="157">
        <f>IF(D93="","-",+C152+1)</f>
        <v>2073</v>
      </c>
      <c r="D153" s="158">
        <f>IF(F152+SUM(E$99:E152)=D$92,F152,D$92-SUM(E$99:E152))</f>
        <v>0</v>
      </c>
      <c r="E153" s="164">
        <f t="shared" si="19"/>
        <v>0</v>
      </c>
      <c r="F153" s="163">
        <f t="shared" si="20"/>
        <v>0</v>
      </c>
      <c r="G153" s="163">
        <f t="shared" si="21"/>
        <v>0</v>
      </c>
      <c r="H153" s="333">
        <f t="shared" si="12"/>
        <v>0</v>
      </c>
      <c r="I153" s="344">
        <f t="shared" si="17"/>
        <v>0</v>
      </c>
      <c r="J153" s="162">
        <f t="shared" si="22"/>
        <v>0</v>
      </c>
      <c r="K153" s="162"/>
      <c r="L153" s="335"/>
      <c r="M153" s="162">
        <f t="shared" si="23"/>
        <v>0</v>
      </c>
      <c r="N153" s="335"/>
      <c r="O153" s="162">
        <f t="shared" si="24"/>
        <v>0</v>
      </c>
      <c r="P153" s="162">
        <f t="shared" si="25"/>
        <v>0</v>
      </c>
    </row>
    <row r="154" spans="2:16" ht="13.5" thickBot="1">
      <c r="B154" s="9" t="str">
        <f t="shared" si="18"/>
        <v/>
      </c>
      <c r="C154" s="168">
        <f>IF(D93="","-",+C153+1)</f>
        <v>2074</v>
      </c>
      <c r="D154" s="170">
        <f>IF(F153+SUM(E$99:E153)=D$92,F153,D$92-SUM(E$99:E153))</f>
        <v>0</v>
      </c>
      <c r="E154" s="170">
        <f t="shared" si="19"/>
        <v>0</v>
      </c>
      <c r="F154" s="169">
        <f t="shared" si="20"/>
        <v>0</v>
      </c>
      <c r="G154" s="169">
        <f t="shared" si="21"/>
        <v>0</v>
      </c>
      <c r="H154" s="345">
        <f t="shared" si="12"/>
        <v>0</v>
      </c>
      <c r="I154" s="346">
        <f t="shared" si="17"/>
        <v>0</v>
      </c>
      <c r="J154" s="173">
        <f t="shared" si="22"/>
        <v>0</v>
      </c>
      <c r="K154" s="162"/>
      <c r="L154" s="336"/>
      <c r="M154" s="173">
        <f t="shared" si="23"/>
        <v>0</v>
      </c>
      <c r="N154" s="336"/>
      <c r="O154" s="173">
        <f t="shared" si="24"/>
        <v>0</v>
      </c>
      <c r="P154" s="173">
        <f t="shared" si="25"/>
        <v>0</v>
      </c>
    </row>
    <row r="155" spans="2:16">
      <c r="C155" s="158" t="s">
        <v>72</v>
      </c>
      <c r="D155" s="115"/>
      <c r="E155" s="115">
        <f>SUM(E99:E154)</f>
        <v>4236000</v>
      </c>
      <c r="F155" s="115"/>
      <c r="G155" s="115"/>
      <c r="H155" s="115">
        <f>SUM(H99:H154)</f>
        <v>13483706.295947764</v>
      </c>
      <c r="I155" s="115">
        <f>SUM(I99:I154)</f>
        <v>13483706.295947764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conditionalFormatting sqref="C17:C72">
    <cfRule type="cellIs" dxfId="5" priority="1" stopIfTrue="1" operator="equal">
      <formula>$I$10</formula>
    </cfRule>
  </conditionalFormatting>
  <conditionalFormatting sqref="C99:C154">
    <cfRule type="cellIs" dxfId="4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6383" man="1"/>
  </row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zoomScale="80" zoomScaleNormal="80" workbookViewId="0">
      <selection activeCell="I15" sqref="I15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"&amp;RIGHT(MID(CELL("filename",$A$1),FIND("]",CELL("filename",$A$1))+1,256),2)&amp;" of "&amp;COUNT('P.001:P.xyz - blank'!$P$3)-1</f>
        <v>PSO Project 28 of 28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275</v>
      </c>
      <c r="L5" s="119"/>
      <c r="M5" s="120"/>
      <c r="N5" s="121">
        <f>VLOOKUP(I10,C17:I72,5)</f>
        <v>109448.17204091245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276</v>
      </c>
      <c r="L6" s="125"/>
      <c r="M6" s="4"/>
      <c r="N6" s="126">
        <f>VLOOKUP(I10,C17:I72,6)</f>
        <v>109448.17204091245</v>
      </c>
      <c r="O6" s="1"/>
      <c r="P6" s="1"/>
    </row>
    <row r="7" spans="1:16" ht="13.5" thickBot="1">
      <c r="C7" s="127" t="s">
        <v>41</v>
      </c>
      <c r="D7" s="481" t="s">
        <v>342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/>
      <c r="E8" s="132"/>
      <c r="F8" s="132"/>
      <c r="G8" s="132"/>
      <c r="H8" s="132"/>
      <c r="I8" s="132"/>
      <c r="J8" s="488"/>
      <c r="K8" s="132"/>
      <c r="L8" s="132"/>
      <c r="M8" s="132"/>
      <c r="N8" s="132"/>
      <c r="O8" s="488"/>
      <c r="P8" s="22"/>
    </row>
    <row r="9" spans="1:16" ht="13.5" thickBot="1">
      <c r="C9" s="133" t="s">
        <v>43</v>
      </c>
      <c r="D9" s="229"/>
      <c r="E9" s="427" t="s">
        <v>325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1677000</v>
      </c>
      <c r="E10" s="64" t="s">
        <v>46</v>
      </c>
      <c r="F10" s="137"/>
      <c r="G10" s="139"/>
      <c r="H10" s="139"/>
      <c r="I10" s="140">
        <f>+PSO.WS.F.BPU.ATRR.Projected!L19</f>
        <v>2020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2020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6</v>
      </c>
      <c r="E12" s="141" t="s">
        <v>51</v>
      </c>
      <c r="F12" s="139"/>
      <c r="G12" s="7"/>
      <c r="H12" s="7"/>
      <c r="I12" s="145">
        <f>PSO.WS.F.BPU.ATRR.Projected!$F$81</f>
        <v>0.10800477690995318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42</v>
      </c>
      <c r="E13" s="141" t="s">
        <v>54</v>
      </c>
      <c r="F13" s="139"/>
      <c r="G13" s="7"/>
      <c r="H13" s="7"/>
      <c r="I13" s="145">
        <f>IF(G5="",I12,PSO.WS.F.BPU.ATRR.Projected!$F$80)</f>
        <v>0.10800477690995318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39928.571428571428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277</v>
      </c>
      <c r="H15" s="362" t="s">
        <v>278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2020</v>
      </c>
      <c r="D17" s="158">
        <v>0</v>
      </c>
      <c r="E17" s="159">
        <f>IF(D10&gt;=100000,I$14/12*(12-D12),0)</f>
        <v>19964.285714285714</v>
      </c>
      <c r="F17" s="163">
        <f>IF(D11=C17,+D10-E17,+D17-E17)</f>
        <v>1657035.7142857143</v>
      </c>
      <c r="G17" s="159">
        <f>(D17+F17)/2*I$12+E17</f>
        <v>109448.17204091245</v>
      </c>
      <c r="H17" s="147">
        <f>+(D17+F17)/2*I$13+E17</f>
        <v>109448.17204091245</v>
      </c>
      <c r="I17" s="160">
        <f t="shared" ref="I17:I72" si="0">H17-G17</f>
        <v>0</v>
      </c>
      <c r="J17" s="160"/>
      <c r="K17" s="337">
        <f>+G17</f>
        <v>109448.17204091245</v>
      </c>
      <c r="L17" s="161">
        <f t="shared" ref="L17:L72" si="1">IF(K17&lt;&gt;0,+G17-K17,0)</f>
        <v>0</v>
      </c>
      <c r="M17" s="337">
        <f>+H17</f>
        <v>109448.17204091245</v>
      </c>
      <c r="N17" s="161">
        <f t="shared" ref="N17:N72" si="2">IF(M17&lt;&gt;0,+H17-M17,0)</f>
        <v>0</v>
      </c>
      <c r="O17" s="162">
        <f t="shared" ref="O17:O72" si="3">+N17-L17</f>
        <v>0</v>
      </c>
      <c r="P17" s="4"/>
    </row>
    <row r="18" spans="2:16">
      <c r="B18" s="9" t="str">
        <f>IF(D18=F17,"","IU")</f>
        <v/>
      </c>
      <c r="C18" s="157">
        <f>IF(D11="","-",+C17+1)</f>
        <v>2021</v>
      </c>
      <c r="D18" s="166">
        <f>IF(F17+SUM(E$17:E17)=D$10,F17,D$10-SUM(E$17:E17))</f>
        <v>1657035.7142857143</v>
      </c>
      <c r="E18" s="164">
        <f t="shared" ref="E18:E72" si="4">IF(+I$14&lt;F17,I$14,D18)</f>
        <v>39928.571428571428</v>
      </c>
      <c r="F18" s="163">
        <f t="shared" ref="F18:F72" si="5">+D18-E18</f>
        <v>1617107.142857143</v>
      </c>
      <c r="G18" s="165">
        <f t="shared" ref="G18:G72" si="6">(D18+F18)/2*I$12+E18</f>
        <v>216740.10585708692</v>
      </c>
      <c r="H18" s="147">
        <f t="shared" ref="H18:H72" si="7">+(D18+F18)/2*I$13+E18</f>
        <v>216740.10585708692</v>
      </c>
      <c r="I18" s="160">
        <f t="shared" si="0"/>
        <v>0</v>
      </c>
      <c r="J18" s="160"/>
      <c r="K18" s="335"/>
      <c r="L18" s="162">
        <f t="shared" si="1"/>
        <v>0</v>
      </c>
      <c r="M18" s="335"/>
      <c r="N18" s="162">
        <f t="shared" si="2"/>
        <v>0</v>
      </c>
      <c r="O18" s="162">
        <f t="shared" si="3"/>
        <v>0</v>
      </c>
      <c r="P18" s="4"/>
    </row>
    <row r="19" spans="2:16">
      <c r="B19" s="9" t="str">
        <f>IF(D19=F18,"","IU")</f>
        <v/>
      </c>
      <c r="C19" s="157">
        <f>IF(D11="","-",+C18+1)</f>
        <v>2022</v>
      </c>
      <c r="D19" s="166">
        <f>IF(F18+SUM(E$17:E18)=D$10,F18,D$10-SUM(E$17:E18))</f>
        <v>1617107.142857143</v>
      </c>
      <c r="E19" s="164">
        <f t="shared" si="4"/>
        <v>39928.571428571428</v>
      </c>
      <c r="F19" s="163">
        <f t="shared" si="5"/>
        <v>1577178.5714285716</v>
      </c>
      <c r="G19" s="165">
        <f t="shared" si="6"/>
        <v>212427.62940761095</v>
      </c>
      <c r="H19" s="147">
        <f t="shared" si="7"/>
        <v>212427.62940761095</v>
      </c>
      <c r="I19" s="160">
        <f t="shared" si="0"/>
        <v>0</v>
      </c>
      <c r="J19" s="160"/>
      <c r="K19" s="335"/>
      <c r="L19" s="162">
        <f t="shared" si="1"/>
        <v>0</v>
      </c>
      <c r="M19" s="335"/>
      <c r="N19" s="162">
        <f t="shared" si="2"/>
        <v>0</v>
      </c>
      <c r="O19" s="162">
        <f t="shared" si="3"/>
        <v>0</v>
      </c>
      <c r="P19" s="4"/>
    </row>
    <row r="20" spans="2:16">
      <c r="B20" s="9" t="str">
        <f t="shared" ref="B20:B72" si="8">IF(D20=F19,"","IU")</f>
        <v/>
      </c>
      <c r="C20" s="157">
        <f>IF(D11="","-",+C19+1)</f>
        <v>2023</v>
      </c>
      <c r="D20" s="166">
        <f>IF(F19+SUM(E$17:E19)=D$10,F19,D$10-SUM(E$17:E19))</f>
        <v>1577178.5714285716</v>
      </c>
      <c r="E20" s="164">
        <f t="shared" si="4"/>
        <v>39928.571428571428</v>
      </c>
      <c r="F20" s="163">
        <f t="shared" si="5"/>
        <v>1537250.0000000002</v>
      </c>
      <c r="G20" s="165">
        <f t="shared" si="6"/>
        <v>208115.15295813495</v>
      </c>
      <c r="H20" s="147">
        <f t="shared" si="7"/>
        <v>208115.15295813495</v>
      </c>
      <c r="I20" s="160">
        <f t="shared" si="0"/>
        <v>0</v>
      </c>
      <c r="J20" s="160"/>
      <c r="K20" s="335"/>
      <c r="L20" s="162">
        <f t="shared" si="1"/>
        <v>0</v>
      </c>
      <c r="M20" s="335"/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8"/>
        <v/>
      </c>
      <c r="C21" s="157">
        <f>IF(D11="","-",+C20+1)</f>
        <v>2024</v>
      </c>
      <c r="D21" s="166">
        <f>IF(F20+SUM(E$17:E20)=D$10,F20,D$10-SUM(E$17:E20))</f>
        <v>1537250.0000000002</v>
      </c>
      <c r="E21" s="164">
        <f t="shared" si="4"/>
        <v>39928.571428571428</v>
      </c>
      <c r="F21" s="163">
        <f t="shared" si="5"/>
        <v>1497321.4285714289</v>
      </c>
      <c r="G21" s="165">
        <f t="shared" si="6"/>
        <v>203802.67650865897</v>
      </c>
      <c r="H21" s="147">
        <f t="shared" si="7"/>
        <v>203802.67650865897</v>
      </c>
      <c r="I21" s="160">
        <f t="shared" si="0"/>
        <v>0</v>
      </c>
      <c r="J21" s="160"/>
      <c r="K21" s="335"/>
      <c r="L21" s="162">
        <f t="shared" si="1"/>
        <v>0</v>
      </c>
      <c r="M21" s="335"/>
      <c r="N21" s="162">
        <f t="shared" si="2"/>
        <v>0</v>
      </c>
      <c r="O21" s="162">
        <f t="shared" si="3"/>
        <v>0</v>
      </c>
      <c r="P21" s="4"/>
    </row>
    <row r="22" spans="2:16">
      <c r="B22" s="9" t="str">
        <f t="shared" si="8"/>
        <v/>
      </c>
      <c r="C22" s="157">
        <f>IF(D11="","-",+C21+1)</f>
        <v>2025</v>
      </c>
      <c r="D22" s="166">
        <f>IF(F21+SUM(E$17:E21)=D$10,F21,D$10-SUM(E$17:E21))</f>
        <v>1497321.4285714289</v>
      </c>
      <c r="E22" s="164">
        <f t="shared" si="4"/>
        <v>39928.571428571428</v>
      </c>
      <c r="F22" s="163">
        <f t="shared" si="5"/>
        <v>1457392.8571428575</v>
      </c>
      <c r="G22" s="165">
        <f t="shared" si="6"/>
        <v>199490.200059183</v>
      </c>
      <c r="H22" s="147">
        <f t="shared" si="7"/>
        <v>199490.200059183</v>
      </c>
      <c r="I22" s="160">
        <f t="shared" si="0"/>
        <v>0</v>
      </c>
      <c r="J22" s="160"/>
      <c r="K22" s="335"/>
      <c r="L22" s="162">
        <f t="shared" si="1"/>
        <v>0</v>
      </c>
      <c r="M22" s="335"/>
      <c r="N22" s="162">
        <f t="shared" si="2"/>
        <v>0</v>
      </c>
      <c r="O22" s="162">
        <f t="shared" si="3"/>
        <v>0</v>
      </c>
      <c r="P22" s="4"/>
    </row>
    <row r="23" spans="2:16">
      <c r="B23" s="9" t="str">
        <f t="shared" si="8"/>
        <v/>
      </c>
      <c r="C23" s="157">
        <f>IF(D11="","-",+C22+1)</f>
        <v>2026</v>
      </c>
      <c r="D23" s="166">
        <f>IF(F22+SUM(E$17:E22)=D$10,F22,D$10-SUM(E$17:E22))</f>
        <v>1457392.8571428575</v>
      </c>
      <c r="E23" s="164">
        <f t="shared" si="4"/>
        <v>39928.571428571428</v>
      </c>
      <c r="F23" s="163">
        <f t="shared" si="5"/>
        <v>1417464.2857142861</v>
      </c>
      <c r="G23" s="165">
        <f t="shared" si="6"/>
        <v>195177.72360970703</v>
      </c>
      <c r="H23" s="147">
        <f t="shared" si="7"/>
        <v>195177.72360970703</v>
      </c>
      <c r="I23" s="160">
        <f t="shared" si="0"/>
        <v>0</v>
      </c>
      <c r="J23" s="160"/>
      <c r="K23" s="335"/>
      <c r="L23" s="162">
        <f t="shared" si="1"/>
        <v>0</v>
      </c>
      <c r="M23" s="335"/>
      <c r="N23" s="162">
        <f t="shared" si="2"/>
        <v>0</v>
      </c>
      <c r="O23" s="162">
        <f t="shared" si="3"/>
        <v>0</v>
      </c>
      <c r="P23" s="4"/>
    </row>
    <row r="24" spans="2:16">
      <c r="B24" s="9" t="str">
        <f t="shared" si="8"/>
        <v/>
      </c>
      <c r="C24" s="157">
        <f>IF(D11="","-",+C23+1)</f>
        <v>2027</v>
      </c>
      <c r="D24" s="166">
        <f>IF(F23+SUM(E$17:E23)=D$10,F23,D$10-SUM(E$17:E23))</f>
        <v>1417464.2857142861</v>
      </c>
      <c r="E24" s="164">
        <f t="shared" si="4"/>
        <v>39928.571428571428</v>
      </c>
      <c r="F24" s="163">
        <f t="shared" si="5"/>
        <v>1377535.7142857148</v>
      </c>
      <c r="G24" s="165">
        <f t="shared" si="6"/>
        <v>190865.24716023103</v>
      </c>
      <c r="H24" s="147">
        <f t="shared" si="7"/>
        <v>190865.24716023103</v>
      </c>
      <c r="I24" s="160">
        <f t="shared" si="0"/>
        <v>0</v>
      </c>
      <c r="J24" s="160"/>
      <c r="K24" s="335"/>
      <c r="L24" s="162">
        <f t="shared" si="1"/>
        <v>0</v>
      </c>
      <c r="M24" s="335"/>
      <c r="N24" s="162">
        <f t="shared" si="2"/>
        <v>0</v>
      </c>
      <c r="O24" s="162">
        <f t="shared" si="3"/>
        <v>0</v>
      </c>
      <c r="P24" s="4"/>
    </row>
    <row r="25" spans="2:16">
      <c r="B25" s="9" t="str">
        <f t="shared" si="8"/>
        <v/>
      </c>
      <c r="C25" s="157">
        <f>IF(D11="","-",+C24+1)</f>
        <v>2028</v>
      </c>
      <c r="D25" s="166">
        <f>IF(F24+SUM(E$17:E24)=D$10,F24,D$10-SUM(E$17:E24))</f>
        <v>1377535.7142857148</v>
      </c>
      <c r="E25" s="164">
        <f t="shared" si="4"/>
        <v>39928.571428571428</v>
      </c>
      <c r="F25" s="163">
        <f t="shared" si="5"/>
        <v>1337607.1428571434</v>
      </c>
      <c r="G25" s="165">
        <f t="shared" si="6"/>
        <v>186552.77071075505</v>
      </c>
      <c r="H25" s="147">
        <f t="shared" si="7"/>
        <v>186552.77071075505</v>
      </c>
      <c r="I25" s="160">
        <f t="shared" si="0"/>
        <v>0</v>
      </c>
      <c r="J25" s="160"/>
      <c r="K25" s="335"/>
      <c r="L25" s="162">
        <f t="shared" si="1"/>
        <v>0</v>
      </c>
      <c r="M25" s="335"/>
      <c r="N25" s="162">
        <f t="shared" si="2"/>
        <v>0</v>
      </c>
      <c r="O25" s="162">
        <f t="shared" si="3"/>
        <v>0</v>
      </c>
      <c r="P25" s="4"/>
    </row>
    <row r="26" spans="2:16">
      <c r="B26" s="9" t="str">
        <f t="shared" si="8"/>
        <v/>
      </c>
      <c r="C26" s="157">
        <f>IF(D11="","-",+C25+1)</f>
        <v>2029</v>
      </c>
      <c r="D26" s="166">
        <f>IF(F25+SUM(E$17:E25)=D$10,F25,D$10-SUM(E$17:E25))</f>
        <v>1337607.1428571434</v>
      </c>
      <c r="E26" s="164">
        <f t="shared" si="4"/>
        <v>39928.571428571428</v>
      </c>
      <c r="F26" s="163">
        <f t="shared" si="5"/>
        <v>1297678.5714285721</v>
      </c>
      <c r="G26" s="165">
        <f t="shared" si="6"/>
        <v>182240.29426127908</v>
      </c>
      <c r="H26" s="147">
        <f t="shared" si="7"/>
        <v>182240.29426127908</v>
      </c>
      <c r="I26" s="160">
        <f t="shared" si="0"/>
        <v>0</v>
      </c>
      <c r="J26" s="160"/>
      <c r="K26" s="335"/>
      <c r="L26" s="162">
        <f t="shared" si="1"/>
        <v>0</v>
      </c>
      <c r="M26" s="335"/>
      <c r="N26" s="162">
        <f t="shared" si="2"/>
        <v>0</v>
      </c>
      <c r="O26" s="162">
        <f t="shared" si="3"/>
        <v>0</v>
      </c>
      <c r="P26" s="4"/>
    </row>
    <row r="27" spans="2:16">
      <c r="B27" s="9" t="str">
        <f t="shared" si="8"/>
        <v/>
      </c>
      <c r="C27" s="157">
        <f>IF(D11="","-",+C26+1)</f>
        <v>2030</v>
      </c>
      <c r="D27" s="166">
        <f>IF(F26+SUM(E$17:E26)=D$10,F26,D$10-SUM(E$17:E26))</f>
        <v>1297678.5714285721</v>
      </c>
      <c r="E27" s="164">
        <f t="shared" si="4"/>
        <v>39928.571428571428</v>
      </c>
      <c r="F27" s="163">
        <f t="shared" si="5"/>
        <v>1257750.0000000007</v>
      </c>
      <c r="G27" s="165">
        <f t="shared" si="6"/>
        <v>177927.81781180311</v>
      </c>
      <c r="H27" s="147">
        <f t="shared" si="7"/>
        <v>177927.81781180311</v>
      </c>
      <c r="I27" s="160">
        <f t="shared" si="0"/>
        <v>0</v>
      </c>
      <c r="J27" s="160"/>
      <c r="K27" s="335"/>
      <c r="L27" s="162">
        <f t="shared" si="1"/>
        <v>0</v>
      </c>
      <c r="M27" s="335"/>
      <c r="N27" s="162">
        <f t="shared" si="2"/>
        <v>0</v>
      </c>
      <c r="O27" s="162">
        <f t="shared" si="3"/>
        <v>0</v>
      </c>
      <c r="P27" s="4"/>
    </row>
    <row r="28" spans="2:16">
      <c r="B28" s="9" t="str">
        <f t="shared" si="8"/>
        <v/>
      </c>
      <c r="C28" s="157">
        <f>IF(D11="","-",+C27+1)</f>
        <v>2031</v>
      </c>
      <c r="D28" s="166">
        <f>IF(F27+SUM(E$17:E27)=D$10,F27,D$10-SUM(E$17:E27))</f>
        <v>1257750.0000000007</v>
      </c>
      <c r="E28" s="164">
        <f t="shared" si="4"/>
        <v>39928.571428571428</v>
      </c>
      <c r="F28" s="163">
        <f t="shared" si="5"/>
        <v>1217821.4285714293</v>
      </c>
      <c r="G28" s="165">
        <f t="shared" si="6"/>
        <v>173615.3413623271</v>
      </c>
      <c r="H28" s="147">
        <f t="shared" si="7"/>
        <v>173615.3413623271</v>
      </c>
      <c r="I28" s="160">
        <f t="shared" si="0"/>
        <v>0</v>
      </c>
      <c r="J28" s="160"/>
      <c r="K28" s="335"/>
      <c r="L28" s="162">
        <f t="shared" si="1"/>
        <v>0</v>
      </c>
      <c r="M28" s="335"/>
      <c r="N28" s="162">
        <f t="shared" si="2"/>
        <v>0</v>
      </c>
      <c r="O28" s="162">
        <f t="shared" si="3"/>
        <v>0</v>
      </c>
      <c r="P28" s="4"/>
    </row>
    <row r="29" spans="2:16">
      <c r="B29" s="9" t="str">
        <f t="shared" si="8"/>
        <v/>
      </c>
      <c r="C29" s="157">
        <f>IF(D11="","-",+C28+1)</f>
        <v>2032</v>
      </c>
      <c r="D29" s="166">
        <f>IF(F28+SUM(E$17:E28)=D$10,F28,D$10-SUM(E$17:E28))</f>
        <v>1217821.4285714293</v>
      </c>
      <c r="E29" s="164">
        <f t="shared" si="4"/>
        <v>39928.571428571428</v>
      </c>
      <c r="F29" s="163">
        <f t="shared" si="5"/>
        <v>1177892.857142858</v>
      </c>
      <c r="G29" s="165">
        <f t="shared" si="6"/>
        <v>169302.86491285113</v>
      </c>
      <c r="H29" s="147">
        <f t="shared" si="7"/>
        <v>169302.86491285113</v>
      </c>
      <c r="I29" s="160">
        <f t="shared" si="0"/>
        <v>0</v>
      </c>
      <c r="J29" s="160"/>
      <c r="K29" s="335"/>
      <c r="L29" s="162">
        <f t="shared" si="1"/>
        <v>0</v>
      </c>
      <c r="M29" s="335"/>
      <c r="N29" s="162">
        <f t="shared" si="2"/>
        <v>0</v>
      </c>
      <c r="O29" s="162">
        <f t="shared" si="3"/>
        <v>0</v>
      </c>
      <c r="P29" s="4"/>
    </row>
    <row r="30" spans="2:16">
      <c r="B30" s="9" t="str">
        <f t="shared" si="8"/>
        <v/>
      </c>
      <c r="C30" s="157">
        <f>IF(D11="","-",+C29+1)</f>
        <v>2033</v>
      </c>
      <c r="D30" s="166">
        <f>IF(F29+SUM(E$17:E29)=D$10,F29,D$10-SUM(E$17:E29))</f>
        <v>1177892.857142858</v>
      </c>
      <c r="E30" s="164">
        <f t="shared" si="4"/>
        <v>39928.571428571428</v>
      </c>
      <c r="F30" s="163">
        <f t="shared" si="5"/>
        <v>1137964.2857142866</v>
      </c>
      <c r="G30" s="165">
        <f t="shared" si="6"/>
        <v>164990.38846337516</v>
      </c>
      <c r="H30" s="147">
        <f t="shared" si="7"/>
        <v>164990.38846337516</v>
      </c>
      <c r="I30" s="160">
        <f t="shared" si="0"/>
        <v>0</v>
      </c>
      <c r="J30" s="160"/>
      <c r="K30" s="335"/>
      <c r="L30" s="162">
        <f t="shared" si="1"/>
        <v>0</v>
      </c>
      <c r="M30" s="335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8"/>
        <v/>
      </c>
      <c r="C31" s="157">
        <f>IF(D11="","-",+C30+1)</f>
        <v>2034</v>
      </c>
      <c r="D31" s="166">
        <f>IF(F30+SUM(E$17:E30)=D$10,F30,D$10-SUM(E$17:E30))</f>
        <v>1137964.2857142866</v>
      </c>
      <c r="E31" s="164">
        <f t="shared" si="4"/>
        <v>39928.571428571428</v>
      </c>
      <c r="F31" s="163">
        <f t="shared" si="5"/>
        <v>1098035.7142857153</v>
      </c>
      <c r="G31" s="165">
        <f t="shared" si="6"/>
        <v>160677.91201389919</v>
      </c>
      <c r="H31" s="147">
        <f t="shared" si="7"/>
        <v>160677.91201389919</v>
      </c>
      <c r="I31" s="160">
        <f t="shared" si="0"/>
        <v>0</v>
      </c>
      <c r="J31" s="160"/>
      <c r="K31" s="335"/>
      <c r="L31" s="162">
        <f t="shared" si="1"/>
        <v>0</v>
      </c>
      <c r="M31" s="335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8"/>
        <v/>
      </c>
      <c r="C32" s="157">
        <f>IF(D11="","-",+C31+1)</f>
        <v>2035</v>
      </c>
      <c r="D32" s="166">
        <f>IF(F31+SUM(E$17:E31)=D$10,F31,D$10-SUM(E$17:E31))</f>
        <v>1098035.7142857153</v>
      </c>
      <c r="E32" s="164">
        <f t="shared" si="4"/>
        <v>39928.571428571428</v>
      </c>
      <c r="F32" s="163">
        <f t="shared" si="5"/>
        <v>1058107.1428571439</v>
      </c>
      <c r="G32" s="165">
        <f t="shared" si="6"/>
        <v>156365.43556442321</v>
      </c>
      <c r="H32" s="147">
        <f t="shared" si="7"/>
        <v>156365.43556442321</v>
      </c>
      <c r="I32" s="160">
        <f t="shared" si="0"/>
        <v>0</v>
      </c>
      <c r="J32" s="160"/>
      <c r="K32" s="335"/>
      <c r="L32" s="162">
        <f t="shared" si="1"/>
        <v>0</v>
      </c>
      <c r="M32" s="335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8"/>
        <v/>
      </c>
      <c r="C33" s="157">
        <f>IF(D11="","-",+C32+1)</f>
        <v>2036</v>
      </c>
      <c r="D33" s="166">
        <f>IF(F32+SUM(E$17:E32)=D$10,F32,D$10-SUM(E$17:E32))</f>
        <v>1058107.1428571439</v>
      </c>
      <c r="E33" s="164">
        <f t="shared" si="4"/>
        <v>39928.571428571428</v>
      </c>
      <c r="F33" s="163">
        <f t="shared" si="5"/>
        <v>1018178.5714285724</v>
      </c>
      <c r="G33" s="165">
        <f t="shared" si="6"/>
        <v>152052.95911494721</v>
      </c>
      <c r="H33" s="147">
        <f t="shared" si="7"/>
        <v>152052.95911494721</v>
      </c>
      <c r="I33" s="160">
        <f t="shared" si="0"/>
        <v>0</v>
      </c>
      <c r="J33" s="160"/>
      <c r="K33" s="335"/>
      <c r="L33" s="162">
        <f t="shared" si="1"/>
        <v>0</v>
      </c>
      <c r="M33" s="335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8"/>
        <v/>
      </c>
      <c r="C34" s="157">
        <f>IF(D11="","-",+C33+1)</f>
        <v>2037</v>
      </c>
      <c r="D34" s="166">
        <f>IF(F33+SUM(E$17:E33)=D$10,F33,D$10-SUM(E$17:E33))</f>
        <v>1018178.5714285724</v>
      </c>
      <c r="E34" s="164">
        <f t="shared" si="4"/>
        <v>39928.571428571428</v>
      </c>
      <c r="F34" s="163">
        <f t="shared" si="5"/>
        <v>978250.00000000093</v>
      </c>
      <c r="G34" s="165">
        <f t="shared" si="6"/>
        <v>147740.48266547121</v>
      </c>
      <c r="H34" s="147">
        <f t="shared" si="7"/>
        <v>147740.48266547121</v>
      </c>
      <c r="I34" s="160">
        <f t="shared" si="0"/>
        <v>0</v>
      </c>
      <c r="J34" s="160"/>
      <c r="K34" s="335"/>
      <c r="L34" s="162">
        <f t="shared" si="1"/>
        <v>0</v>
      </c>
      <c r="M34" s="335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8"/>
        <v/>
      </c>
      <c r="C35" s="157">
        <f>IF(D11="","-",+C34+1)</f>
        <v>2038</v>
      </c>
      <c r="D35" s="166">
        <f>IF(F34+SUM(E$17:E34)=D$10,F34,D$10-SUM(E$17:E34))</f>
        <v>978250.00000000093</v>
      </c>
      <c r="E35" s="164">
        <f t="shared" si="4"/>
        <v>39928.571428571428</v>
      </c>
      <c r="F35" s="163">
        <f t="shared" si="5"/>
        <v>938321.42857142945</v>
      </c>
      <c r="G35" s="165">
        <f t="shared" si="6"/>
        <v>143428.00621599524</v>
      </c>
      <c r="H35" s="147">
        <f t="shared" si="7"/>
        <v>143428.00621599524</v>
      </c>
      <c r="I35" s="160">
        <f t="shared" si="0"/>
        <v>0</v>
      </c>
      <c r="J35" s="160"/>
      <c r="K35" s="335"/>
      <c r="L35" s="162">
        <f t="shared" si="1"/>
        <v>0</v>
      </c>
      <c r="M35" s="335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8"/>
        <v/>
      </c>
      <c r="C36" s="157">
        <f>IF(D11="","-",+C35+1)</f>
        <v>2039</v>
      </c>
      <c r="D36" s="166">
        <f>IF(F35+SUM(E$17:E35)=D$10,F35,D$10-SUM(E$17:E35))</f>
        <v>938321.42857142945</v>
      </c>
      <c r="E36" s="164">
        <f t="shared" si="4"/>
        <v>39928.571428571428</v>
      </c>
      <c r="F36" s="163">
        <f t="shared" si="5"/>
        <v>898392.85714285797</v>
      </c>
      <c r="G36" s="165">
        <f t="shared" si="6"/>
        <v>139115.52976651923</v>
      </c>
      <c r="H36" s="147">
        <f t="shared" si="7"/>
        <v>139115.52976651923</v>
      </c>
      <c r="I36" s="160">
        <f t="shared" si="0"/>
        <v>0</v>
      </c>
      <c r="J36" s="160"/>
      <c r="K36" s="335"/>
      <c r="L36" s="162">
        <f t="shared" si="1"/>
        <v>0</v>
      </c>
      <c r="M36" s="335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8"/>
        <v/>
      </c>
      <c r="C37" s="157">
        <f>IF(D11="","-",+C36+1)</f>
        <v>2040</v>
      </c>
      <c r="D37" s="166">
        <f>IF(F36+SUM(E$17:E36)=D$10,F36,D$10-SUM(E$17:E36))</f>
        <v>898392.85714285797</v>
      </c>
      <c r="E37" s="164">
        <f t="shared" si="4"/>
        <v>39928.571428571428</v>
      </c>
      <c r="F37" s="163">
        <f t="shared" si="5"/>
        <v>858464.2857142865</v>
      </c>
      <c r="G37" s="165">
        <f t="shared" si="6"/>
        <v>134803.05331704326</v>
      </c>
      <c r="H37" s="147">
        <f t="shared" si="7"/>
        <v>134803.05331704326</v>
      </c>
      <c r="I37" s="160">
        <f t="shared" si="0"/>
        <v>0</v>
      </c>
      <c r="J37" s="160"/>
      <c r="K37" s="335"/>
      <c r="L37" s="162">
        <f t="shared" si="1"/>
        <v>0</v>
      </c>
      <c r="M37" s="335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8"/>
        <v/>
      </c>
      <c r="C38" s="157">
        <f>IF(D11="","-",+C37+1)</f>
        <v>2041</v>
      </c>
      <c r="D38" s="166">
        <f>IF(F37+SUM(E$17:E37)=D$10,F37,D$10-SUM(E$17:E37))</f>
        <v>858464.2857142865</v>
      </c>
      <c r="E38" s="164">
        <f t="shared" si="4"/>
        <v>39928.571428571428</v>
      </c>
      <c r="F38" s="163">
        <f t="shared" si="5"/>
        <v>818535.71428571502</v>
      </c>
      <c r="G38" s="165">
        <f t="shared" si="6"/>
        <v>130490.57686756723</v>
      </c>
      <c r="H38" s="147">
        <f t="shared" si="7"/>
        <v>130490.57686756723</v>
      </c>
      <c r="I38" s="160">
        <f t="shared" si="0"/>
        <v>0</v>
      </c>
      <c r="J38" s="160"/>
      <c r="K38" s="335"/>
      <c r="L38" s="162">
        <f t="shared" si="1"/>
        <v>0</v>
      </c>
      <c r="M38" s="335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8"/>
        <v/>
      </c>
      <c r="C39" s="157">
        <f>IF(D11="","-",+C38+1)</f>
        <v>2042</v>
      </c>
      <c r="D39" s="166">
        <f>IF(F38+SUM(E$17:E38)=D$10,F38,D$10-SUM(E$17:E38))</f>
        <v>818535.71428571502</v>
      </c>
      <c r="E39" s="164">
        <f t="shared" si="4"/>
        <v>39928.571428571428</v>
      </c>
      <c r="F39" s="163">
        <f t="shared" si="5"/>
        <v>778607.14285714354</v>
      </c>
      <c r="G39" s="165">
        <f t="shared" si="6"/>
        <v>126178.10041809126</v>
      </c>
      <c r="H39" s="147">
        <f t="shared" si="7"/>
        <v>126178.10041809126</v>
      </c>
      <c r="I39" s="160">
        <f t="shared" si="0"/>
        <v>0</v>
      </c>
      <c r="J39" s="160"/>
      <c r="K39" s="335"/>
      <c r="L39" s="162">
        <f t="shared" si="1"/>
        <v>0</v>
      </c>
      <c r="M39" s="335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8"/>
        <v/>
      </c>
      <c r="C40" s="157">
        <f>IF(D11="","-",+C39+1)</f>
        <v>2043</v>
      </c>
      <c r="D40" s="166">
        <f>IF(F39+SUM(E$17:E39)=D$10,F39,D$10-SUM(E$17:E39))</f>
        <v>778607.14285714354</v>
      </c>
      <c r="E40" s="164">
        <f t="shared" si="4"/>
        <v>39928.571428571428</v>
      </c>
      <c r="F40" s="163">
        <f t="shared" si="5"/>
        <v>738678.57142857206</v>
      </c>
      <c r="G40" s="165">
        <f t="shared" si="6"/>
        <v>121865.62396861525</v>
      </c>
      <c r="H40" s="147">
        <f t="shared" si="7"/>
        <v>121865.62396861525</v>
      </c>
      <c r="I40" s="160">
        <f t="shared" si="0"/>
        <v>0</v>
      </c>
      <c r="J40" s="160"/>
      <c r="K40" s="335"/>
      <c r="L40" s="162">
        <f t="shared" si="1"/>
        <v>0</v>
      </c>
      <c r="M40" s="335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8"/>
        <v/>
      </c>
      <c r="C41" s="157">
        <f>IF(D11="","-",+C40+1)</f>
        <v>2044</v>
      </c>
      <c r="D41" s="166">
        <f>IF(F40+SUM(E$17:E40)=D$10,F40,D$10-SUM(E$17:E40))</f>
        <v>738678.57142857206</v>
      </c>
      <c r="E41" s="164">
        <f t="shared" si="4"/>
        <v>39928.571428571428</v>
      </c>
      <c r="F41" s="163">
        <f t="shared" si="5"/>
        <v>698750.00000000058</v>
      </c>
      <c r="G41" s="165">
        <f t="shared" si="6"/>
        <v>117553.14751913928</v>
      </c>
      <c r="H41" s="147">
        <f t="shared" si="7"/>
        <v>117553.14751913928</v>
      </c>
      <c r="I41" s="160">
        <f t="shared" si="0"/>
        <v>0</v>
      </c>
      <c r="J41" s="160"/>
      <c r="K41" s="335"/>
      <c r="L41" s="162">
        <f t="shared" si="1"/>
        <v>0</v>
      </c>
      <c r="M41" s="335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8"/>
        <v/>
      </c>
      <c r="C42" s="157">
        <f>IF(D11="","-",+C41+1)</f>
        <v>2045</v>
      </c>
      <c r="D42" s="166">
        <f>IF(F41+SUM(E$17:E41)=D$10,F41,D$10-SUM(E$17:E41))</f>
        <v>698750.00000000058</v>
      </c>
      <c r="E42" s="164">
        <f t="shared" si="4"/>
        <v>39928.571428571428</v>
      </c>
      <c r="F42" s="163">
        <f t="shared" si="5"/>
        <v>658821.4285714291</v>
      </c>
      <c r="G42" s="165">
        <f t="shared" si="6"/>
        <v>113240.67106966328</v>
      </c>
      <c r="H42" s="147">
        <f t="shared" si="7"/>
        <v>113240.67106966328</v>
      </c>
      <c r="I42" s="160">
        <f t="shared" si="0"/>
        <v>0</v>
      </c>
      <c r="J42" s="160"/>
      <c r="K42" s="335"/>
      <c r="L42" s="162">
        <f t="shared" si="1"/>
        <v>0</v>
      </c>
      <c r="M42" s="335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8"/>
        <v/>
      </c>
      <c r="C43" s="157">
        <f>IF(D11="","-",+C42+1)</f>
        <v>2046</v>
      </c>
      <c r="D43" s="166">
        <f>IF(F42+SUM(E$17:E42)=D$10,F42,D$10-SUM(E$17:E42))</f>
        <v>658821.4285714291</v>
      </c>
      <c r="E43" s="164">
        <f t="shared" si="4"/>
        <v>39928.571428571428</v>
      </c>
      <c r="F43" s="163">
        <f t="shared" si="5"/>
        <v>618892.85714285763</v>
      </c>
      <c r="G43" s="165">
        <f t="shared" si="6"/>
        <v>108928.19462018728</v>
      </c>
      <c r="H43" s="147">
        <f t="shared" si="7"/>
        <v>108928.19462018728</v>
      </c>
      <c r="I43" s="160">
        <f t="shared" si="0"/>
        <v>0</v>
      </c>
      <c r="J43" s="160"/>
      <c r="K43" s="335"/>
      <c r="L43" s="162">
        <f t="shared" si="1"/>
        <v>0</v>
      </c>
      <c r="M43" s="335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8"/>
        <v/>
      </c>
      <c r="C44" s="157">
        <f>IF(D11="","-",+C43+1)</f>
        <v>2047</v>
      </c>
      <c r="D44" s="166">
        <f>IF(F43+SUM(E$17:E43)=D$10,F43,D$10-SUM(E$17:E43))</f>
        <v>618892.85714285763</v>
      </c>
      <c r="E44" s="164">
        <f t="shared" si="4"/>
        <v>39928.571428571428</v>
      </c>
      <c r="F44" s="163">
        <f t="shared" si="5"/>
        <v>578964.28571428615</v>
      </c>
      <c r="G44" s="165">
        <f t="shared" si="6"/>
        <v>104615.71817071128</v>
      </c>
      <c r="H44" s="147">
        <f t="shared" si="7"/>
        <v>104615.71817071128</v>
      </c>
      <c r="I44" s="160">
        <f t="shared" si="0"/>
        <v>0</v>
      </c>
      <c r="J44" s="160"/>
      <c r="K44" s="335"/>
      <c r="L44" s="162">
        <f t="shared" si="1"/>
        <v>0</v>
      </c>
      <c r="M44" s="335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8"/>
        <v/>
      </c>
      <c r="C45" s="157">
        <f>IF(D11="","-",+C44+1)</f>
        <v>2048</v>
      </c>
      <c r="D45" s="166">
        <f>IF(F44+SUM(E$17:E44)=D$10,F44,D$10-SUM(E$17:E44))</f>
        <v>578964.28571428615</v>
      </c>
      <c r="E45" s="164">
        <f t="shared" si="4"/>
        <v>39928.571428571428</v>
      </c>
      <c r="F45" s="163">
        <f t="shared" si="5"/>
        <v>539035.71428571467</v>
      </c>
      <c r="G45" s="165">
        <f t="shared" si="6"/>
        <v>100303.2417212353</v>
      </c>
      <c r="H45" s="147">
        <f t="shared" si="7"/>
        <v>100303.2417212353</v>
      </c>
      <c r="I45" s="160">
        <f t="shared" si="0"/>
        <v>0</v>
      </c>
      <c r="J45" s="160"/>
      <c r="K45" s="335"/>
      <c r="L45" s="162">
        <f t="shared" si="1"/>
        <v>0</v>
      </c>
      <c r="M45" s="335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8"/>
        <v/>
      </c>
      <c r="C46" s="157">
        <f>IF(D11="","-",+C45+1)</f>
        <v>2049</v>
      </c>
      <c r="D46" s="166">
        <f>IF(F45+SUM(E$17:E45)=D$10,F45,D$10-SUM(E$17:E45))</f>
        <v>539035.71428571467</v>
      </c>
      <c r="E46" s="164">
        <f t="shared" si="4"/>
        <v>39928.571428571428</v>
      </c>
      <c r="F46" s="163">
        <f t="shared" si="5"/>
        <v>499107.14285714325</v>
      </c>
      <c r="G46" s="165">
        <f t="shared" si="6"/>
        <v>95990.765271759301</v>
      </c>
      <c r="H46" s="147">
        <f t="shared" si="7"/>
        <v>95990.765271759301</v>
      </c>
      <c r="I46" s="160">
        <f t="shared" si="0"/>
        <v>0</v>
      </c>
      <c r="J46" s="160"/>
      <c r="K46" s="335"/>
      <c r="L46" s="162">
        <f t="shared" si="1"/>
        <v>0</v>
      </c>
      <c r="M46" s="335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8"/>
        <v/>
      </c>
      <c r="C47" s="157">
        <f>IF(D11="","-",+C46+1)</f>
        <v>2050</v>
      </c>
      <c r="D47" s="166">
        <f>IF(F46+SUM(E$17:E46)=D$10,F46,D$10-SUM(E$17:E46))</f>
        <v>499107.14285714325</v>
      </c>
      <c r="E47" s="164">
        <f t="shared" si="4"/>
        <v>39928.571428571428</v>
      </c>
      <c r="F47" s="163">
        <f t="shared" si="5"/>
        <v>459178.57142857183</v>
      </c>
      <c r="G47" s="165">
        <f t="shared" si="6"/>
        <v>91678.288822283328</v>
      </c>
      <c r="H47" s="147">
        <f t="shared" si="7"/>
        <v>91678.288822283328</v>
      </c>
      <c r="I47" s="160">
        <f t="shared" si="0"/>
        <v>0</v>
      </c>
      <c r="J47" s="160"/>
      <c r="K47" s="335"/>
      <c r="L47" s="162">
        <f t="shared" si="1"/>
        <v>0</v>
      </c>
      <c r="M47" s="335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8"/>
        <v/>
      </c>
      <c r="C48" s="157">
        <f>IF(D11="","-",+C47+1)</f>
        <v>2051</v>
      </c>
      <c r="D48" s="166">
        <f>IF(F47+SUM(E$17:E47)=D$10,F47,D$10-SUM(E$17:E47))</f>
        <v>459178.57142857183</v>
      </c>
      <c r="E48" s="164">
        <f t="shared" si="4"/>
        <v>39928.571428571428</v>
      </c>
      <c r="F48" s="163">
        <f t="shared" si="5"/>
        <v>419250.00000000041</v>
      </c>
      <c r="G48" s="165">
        <f t="shared" si="6"/>
        <v>87365.812372807341</v>
      </c>
      <c r="H48" s="147">
        <f t="shared" si="7"/>
        <v>87365.812372807341</v>
      </c>
      <c r="I48" s="160">
        <f t="shared" si="0"/>
        <v>0</v>
      </c>
      <c r="J48" s="160"/>
      <c r="K48" s="335"/>
      <c r="L48" s="162">
        <f t="shared" si="1"/>
        <v>0</v>
      </c>
      <c r="M48" s="335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8"/>
        <v/>
      </c>
      <c r="C49" s="157">
        <f>IF(D11="","-",+C48+1)</f>
        <v>2052</v>
      </c>
      <c r="D49" s="166">
        <f>IF(F48+SUM(E$17:E48)=D$10,F48,D$10-SUM(E$17:E48))</f>
        <v>419250.00000000041</v>
      </c>
      <c r="E49" s="164">
        <f t="shared" si="4"/>
        <v>39928.571428571428</v>
      </c>
      <c r="F49" s="163">
        <f t="shared" si="5"/>
        <v>379321.42857142899</v>
      </c>
      <c r="G49" s="165">
        <f t="shared" si="6"/>
        <v>83053.335923331353</v>
      </c>
      <c r="H49" s="147">
        <f t="shared" si="7"/>
        <v>83053.335923331353</v>
      </c>
      <c r="I49" s="160">
        <f t="shared" si="0"/>
        <v>0</v>
      </c>
      <c r="J49" s="160"/>
      <c r="K49" s="335"/>
      <c r="L49" s="162">
        <f t="shared" si="1"/>
        <v>0</v>
      </c>
      <c r="M49" s="335"/>
      <c r="N49" s="162">
        <f t="shared" si="2"/>
        <v>0</v>
      </c>
      <c r="O49" s="162">
        <f t="shared" si="3"/>
        <v>0</v>
      </c>
      <c r="P49" s="4"/>
    </row>
    <row r="50" spans="2:16">
      <c r="B50" s="9" t="str">
        <f t="shared" si="8"/>
        <v/>
      </c>
      <c r="C50" s="157">
        <f>IF(D11="","-",+C49+1)</f>
        <v>2053</v>
      </c>
      <c r="D50" s="166">
        <f>IF(F49+SUM(E$17:E49)=D$10,F49,D$10-SUM(E$17:E49))</f>
        <v>379321.42857142899</v>
      </c>
      <c r="E50" s="164">
        <f t="shared" si="4"/>
        <v>39928.571428571428</v>
      </c>
      <c r="F50" s="163">
        <f t="shared" si="5"/>
        <v>339392.85714285757</v>
      </c>
      <c r="G50" s="165">
        <f t="shared" si="6"/>
        <v>78740.859473855366</v>
      </c>
      <c r="H50" s="147">
        <f t="shared" si="7"/>
        <v>78740.859473855366</v>
      </c>
      <c r="I50" s="160">
        <f t="shared" si="0"/>
        <v>0</v>
      </c>
      <c r="J50" s="160"/>
      <c r="K50" s="335"/>
      <c r="L50" s="162">
        <f t="shared" si="1"/>
        <v>0</v>
      </c>
      <c r="M50" s="335"/>
      <c r="N50" s="162">
        <f t="shared" si="2"/>
        <v>0</v>
      </c>
      <c r="O50" s="162">
        <f t="shared" si="3"/>
        <v>0</v>
      </c>
      <c r="P50" s="4"/>
    </row>
    <row r="51" spans="2:16">
      <c r="B51" s="9" t="str">
        <f t="shared" si="8"/>
        <v/>
      </c>
      <c r="C51" s="157">
        <f>IF(D11="","-",+C50+1)</f>
        <v>2054</v>
      </c>
      <c r="D51" s="166">
        <f>IF(F50+SUM(E$17:E50)=D$10,F50,D$10-SUM(E$17:E50))</f>
        <v>339392.85714285757</v>
      </c>
      <c r="E51" s="164">
        <f t="shared" si="4"/>
        <v>39928.571428571428</v>
      </c>
      <c r="F51" s="163">
        <f t="shared" si="5"/>
        <v>299464.28571428615</v>
      </c>
      <c r="G51" s="165">
        <f t="shared" si="6"/>
        <v>74428.383024379378</v>
      </c>
      <c r="H51" s="147">
        <f t="shared" si="7"/>
        <v>74428.383024379378</v>
      </c>
      <c r="I51" s="160">
        <f t="shared" si="0"/>
        <v>0</v>
      </c>
      <c r="J51" s="160"/>
      <c r="K51" s="335"/>
      <c r="L51" s="162">
        <f t="shared" si="1"/>
        <v>0</v>
      </c>
      <c r="M51" s="335"/>
      <c r="N51" s="162">
        <f t="shared" si="2"/>
        <v>0</v>
      </c>
      <c r="O51" s="162">
        <f t="shared" si="3"/>
        <v>0</v>
      </c>
      <c r="P51" s="4"/>
    </row>
    <row r="52" spans="2:16">
      <c r="B52" s="9" t="str">
        <f t="shared" si="8"/>
        <v/>
      </c>
      <c r="C52" s="157">
        <f>IF(D11="","-",+C51+1)</f>
        <v>2055</v>
      </c>
      <c r="D52" s="166">
        <f>IF(F51+SUM(E$17:E51)=D$10,F51,D$10-SUM(E$17:E51))</f>
        <v>299464.28571428615</v>
      </c>
      <c r="E52" s="164">
        <f t="shared" si="4"/>
        <v>39928.571428571428</v>
      </c>
      <c r="F52" s="163">
        <f t="shared" si="5"/>
        <v>259535.71428571473</v>
      </c>
      <c r="G52" s="165">
        <f t="shared" si="6"/>
        <v>70115.906574903391</v>
      </c>
      <c r="H52" s="147">
        <f t="shared" si="7"/>
        <v>70115.906574903391</v>
      </c>
      <c r="I52" s="160">
        <f t="shared" si="0"/>
        <v>0</v>
      </c>
      <c r="J52" s="160"/>
      <c r="K52" s="335"/>
      <c r="L52" s="162">
        <f t="shared" si="1"/>
        <v>0</v>
      </c>
      <c r="M52" s="335"/>
      <c r="N52" s="162">
        <f t="shared" si="2"/>
        <v>0</v>
      </c>
      <c r="O52" s="162">
        <f t="shared" si="3"/>
        <v>0</v>
      </c>
      <c r="P52" s="4"/>
    </row>
    <row r="53" spans="2:16">
      <c r="B53" s="9" t="str">
        <f t="shared" si="8"/>
        <v/>
      </c>
      <c r="C53" s="157">
        <f>IF(D11="","-",+C52+1)</f>
        <v>2056</v>
      </c>
      <c r="D53" s="166">
        <f>IF(F52+SUM(E$17:E52)=D$10,F52,D$10-SUM(E$17:E52))</f>
        <v>259535.71428571473</v>
      </c>
      <c r="E53" s="164">
        <f t="shared" si="4"/>
        <v>39928.571428571428</v>
      </c>
      <c r="F53" s="163">
        <f t="shared" si="5"/>
        <v>219607.14285714331</v>
      </c>
      <c r="G53" s="165">
        <f t="shared" si="6"/>
        <v>65803.430125427403</v>
      </c>
      <c r="H53" s="147">
        <f t="shared" si="7"/>
        <v>65803.430125427403</v>
      </c>
      <c r="I53" s="160">
        <f t="shared" si="0"/>
        <v>0</v>
      </c>
      <c r="J53" s="160"/>
      <c r="K53" s="335"/>
      <c r="L53" s="162">
        <f t="shared" si="1"/>
        <v>0</v>
      </c>
      <c r="M53" s="335"/>
      <c r="N53" s="162">
        <f t="shared" si="2"/>
        <v>0</v>
      </c>
      <c r="O53" s="162">
        <f t="shared" si="3"/>
        <v>0</v>
      </c>
      <c r="P53" s="4"/>
    </row>
    <row r="54" spans="2:16">
      <c r="B54" s="9" t="str">
        <f t="shared" si="8"/>
        <v/>
      </c>
      <c r="C54" s="157">
        <f>IF(D11="","-",+C53+1)</f>
        <v>2057</v>
      </c>
      <c r="D54" s="166">
        <f>IF(F53+SUM(E$17:E53)=D$10,F53,D$10-SUM(E$17:E53))</f>
        <v>219607.14285714331</v>
      </c>
      <c r="E54" s="164">
        <f t="shared" si="4"/>
        <v>39928.571428571428</v>
      </c>
      <c r="F54" s="163">
        <f t="shared" si="5"/>
        <v>179678.57142857189</v>
      </c>
      <c r="G54" s="165">
        <f t="shared" si="6"/>
        <v>61490.953675951416</v>
      </c>
      <c r="H54" s="147">
        <f t="shared" si="7"/>
        <v>61490.953675951416</v>
      </c>
      <c r="I54" s="160">
        <f t="shared" si="0"/>
        <v>0</v>
      </c>
      <c r="J54" s="160"/>
      <c r="K54" s="335"/>
      <c r="L54" s="162">
        <f t="shared" si="1"/>
        <v>0</v>
      </c>
      <c r="M54" s="335"/>
      <c r="N54" s="162">
        <f t="shared" si="2"/>
        <v>0</v>
      </c>
      <c r="O54" s="162">
        <f t="shared" si="3"/>
        <v>0</v>
      </c>
      <c r="P54" s="4"/>
    </row>
    <row r="55" spans="2:16">
      <c r="B55" s="9" t="str">
        <f t="shared" si="8"/>
        <v/>
      </c>
      <c r="C55" s="157">
        <f>IF(D11="","-",+C54+1)</f>
        <v>2058</v>
      </c>
      <c r="D55" s="166">
        <f>IF(F54+SUM(E$17:E54)=D$10,F54,D$10-SUM(E$17:E54))</f>
        <v>179678.57142857189</v>
      </c>
      <c r="E55" s="164">
        <f t="shared" si="4"/>
        <v>39928.571428571428</v>
      </c>
      <c r="F55" s="163">
        <f t="shared" si="5"/>
        <v>139750.00000000047</v>
      </c>
      <c r="G55" s="165">
        <f t="shared" si="6"/>
        <v>57178.477226475428</v>
      </c>
      <c r="H55" s="147">
        <f t="shared" si="7"/>
        <v>57178.477226475428</v>
      </c>
      <c r="I55" s="160">
        <f t="shared" si="0"/>
        <v>0</v>
      </c>
      <c r="J55" s="160"/>
      <c r="K55" s="335"/>
      <c r="L55" s="162">
        <f t="shared" si="1"/>
        <v>0</v>
      </c>
      <c r="M55" s="335"/>
      <c r="N55" s="162">
        <f t="shared" si="2"/>
        <v>0</v>
      </c>
      <c r="O55" s="162">
        <f t="shared" si="3"/>
        <v>0</v>
      </c>
      <c r="P55" s="4"/>
    </row>
    <row r="56" spans="2:16">
      <c r="B56" s="9" t="str">
        <f t="shared" si="8"/>
        <v/>
      </c>
      <c r="C56" s="157">
        <f>IF(D11="","-",+C55+1)</f>
        <v>2059</v>
      </c>
      <c r="D56" s="166">
        <f>IF(F55+SUM(E$17:E55)=D$10,F55,D$10-SUM(E$17:E55))</f>
        <v>139750.00000000047</v>
      </c>
      <c r="E56" s="164">
        <f t="shared" si="4"/>
        <v>39928.571428571428</v>
      </c>
      <c r="F56" s="163">
        <f t="shared" si="5"/>
        <v>99821.428571429045</v>
      </c>
      <c r="G56" s="165">
        <f t="shared" si="6"/>
        <v>52866.000776999441</v>
      </c>
      <c r="H56" s="147">
        <f t="shared" si="7"/>
        <v>52866.000776999441</v>
      </c>
      <c r="I56" s="160">
        <f t="shared" si="0"/>
        <v>0</v>
      </c>
      <c r="J56" s="160"/>
      <c r="K56" s="335"/>
      <c r="L56" s="162">
        <f t="shared" si="1"/>
        <v>0</v>
      </c>
      <c r="M56" s="335"/>
      <c r="N56" s="162">
        <f t="shared" si="2"/>
        <v>0</v>
      </c>
      <c r="O56" s="162">
        <f t="shared" si="3"/>
        <v>0</v>
      </c>
      <c r="P56" s="4"/>
    </row>
    <row r="57" spans="2:16">
      <c r="B57" s="9" t="str">
        <f t="shared" si="8"/>
        <v/>
      </c>
      <c r="C57" s="157">
        <f>IF(D11="","-",+C56+1)</f>
        <v>2060</v>
      </c>
      <c r="D57" s="166">
        <f>IF(F56+SUM(E$17:E56)=D$10,F56,D$10-SUM(E$17:E56))</f>
        <v>99821.428571429045</v>
      </c>
      <c r="E57" s="164">
        <f t="shared" si="4"/>
        <v>39928.571428571428</v>
      </c>
      <c r="F57" s="163">
        <f t="shared" si="5"/>
        <v>59892.857142857618</v>
      </c>
      <c r="G57" s="165">
        <f t="shared" si="6"/>
        <v>48553.524327523453</v>
      </c>
      <c r="H57" s="147">
        <f t="shared" si="7"/>
        <v>48553.524327523453</v>
      </c>
      <c r="I57" s="160">
        <f t="shared" si="0"/>
        <v>0</v>
      </c>
      <c r="J57" s="160"/>
      <c r="K57" s="335"/>
      <c r="L57" s="162">
        <f t="shared" si="1"/>
        <v>0</v>
      </c>
      <c r="M57" s="335"/>
      <c r="N57" s="162">
        <f t="shared" si="2"/>
        <v>0</v>
      </c>
      <c r="O57" s="162">
        <f t="shared" si="3"/>
        <v>0</v>
      </c>
      <c r="P57" s="4"/>
    </row>
    <row r="58" spans="2:16">
      <c r="B58" s="9" t="str">
        <f t="shared" si="8"/>
        <v/>
      </c>
      <c r="C58" s="157">
        <f>IF(D11="","-",+C57+1)</f>
        <v>2061</v>
      </c>
      <c r="D58" s="166">
        <f>IF(F57+SUM(E$17:E57)=D$10,F57,D$10-SUM(E$17:E57))</f>
        <v>59892.857142857618</v>
      </c>
      <c r="E58" s="164">
        <f t="shared" si="4"/>
        <v>39928.571428571428</v>
      </c>
      <c r="F58" s="163">
        <f t="shared" si="5"/>
        <v>19964.28571428619</v>
      </c>
      <c r="G58" s="165">
        <f t="shared" si="6"/>
        <v>44241.047878047466</v>
      </c>
      <c r="H58" s="147">
        <f t="shared" si="7"/>
        <v>44241.047878047466</v>
      </c>
      <c r="I58" s="160">
        <f t="shared" si="0"/>
        <v>0</v>
      </c>
      <c r="J58" s="160"/>
      <c r="K58" s="335"/>
      <c r="L58" s="162">
        <f t="shared" si="1"/>
        <v>0</v>
      </c>
      <c r="M58" s="335"/>
      <c r="N58" s="162">
        <f t="shared" si="2"/>
        <v>0</v>
      </c>
      <c r="O58" s="162">
        <f t="shared" si="3"/>
        <v>0</v>
      </c>
      <c r="P58" s="4"/>
    </row>
    <row r="59" spans="2:16">
      <c r="B59" s="9" t="str">
        <f t="shared" si="8"/>
        <v/>
      </c>
      <c r="C59" s="157">
        <f>IF(D11="","-",+C58+1)</f>
        <v>2062</v>
      </c>
      <c r="D59" s="166">
        <f>IF(F58+SUM(E$17:E58)=D$10,F58,D$10-SUM(E$17:E58))</f>
        <v>19964.28571428619</v>
      </c>
      <c r="E59" s="164">
        <f t="shared" si="4"/>
        <v>19964.28571428619</v>
      </c>
      <c r="F59" s="163">
        <f t="shared" si="5"/>
        <v>0</v>
      </c>
      <c r="G59" s="165">
        <f t="shared" si="6"/>
        <v>21042.404826655213</v>
      </c>
      <c r="H59" s="147">
        <f t="shared" si="7"/>
        <v>21042.404826655213</v>
      </c>
      <c r="I59" s="160">
        <f t="shared" si="0"/>
        <v>0</v>
      </c>
      <c r="J59" s="160"/>
      <c r="K59" s="335"/>
      <c r="L59" s="162">
        <f t="shared" si="1"/>
        <v>0</v>
      </c>
      <c r="M59" s="335"/>
      <c r="N59" s="162">
        <f t="shared" si="2"/>
        <v>0</v>
      </c>
      <c r="O59" s="162">
        <f t="shared" si="3"/>
        <v>0</v>
      </c>
      <c r="P59" s="4"/>
    </row>
    <row r="60" spans="2:16">
      <c r="B60" s="9" t="str">
        <f t="shared" si="8"/>
        <v/>
      </c>
      <c r="C60" s="157">
        <f>IF(D11="","-",+C59+1)</f>
        <v>2063</v>
      </c>
      <c r="D60" s="166">
        <f>IF(F59+SUM(E$17:E59)=D$10,F59,D$10-SUM(E$17:E59))</f>
        <v>0</v>
      </c>
      <c r="E60" s="164">
        <f t="shared" si="4"/>
        <v>0</v>
      </c>
      <c r="F60" s="163">
        <f t="shared" si="5"/>
        <v>0</v>
      </c>
      <c r="G60" s="165">
        <f t="shared" si="6"/>
        <v>0</v>
      </c>
      <c r="H60" s="147">
        <f t="shared" si="7"/>
        <v>0</v>
      </c>
      <c r="I60" s="160">
        <f t="shared" si="0"/>
        <v>0</v>
      </c>
      <c r="J60" s="160"/>
      <c r="K60" s="335"/>
      <c r="L60" s="162">
        <f t="shared" si="1"/>
        <v>0</v>
      </c>
      <c r="M60" s="335"/>
      <c r="N60" s="162">
        <f t="shared" si="2"/>
        <v>0</v>
      </c>
      <c r="O60" s="162">
        <f t="shared" si="3"/>
        <v>0</v>
      </c>
      <c r="P60" s="4"/>
    </row>
    <row r="61" spans="2:16">
      <c r="B61" s="9" t="str">
        <f t="shared" si="8"/>
        <v/>
      </c>
      <c r="C61" s="157">
        <f>IF(D11="","-",+C60+1)</f>
        <v>2064</v>
      </c>
      <c r="D61" s="166">
        <f>IF(F60+SUM(E$17:E60)=D$10,F60,D$10-SUM(E$17:E60))</f>
        <v>0</v>
      </c>
      <c r="E61" s="164">
        <f t="shared" si="4"/>
        <v>0</v>
      </c>
      <c r="F61" s="163">
        <f t="shared" si="5"/>
        <v>0</v>
      </c>
      <c r="G61" s="165">
        <f t="shared" si="6"/>
        <v>0</v>
      </c>
      <c r="H61" s="147">
        <f t="shared" si="7"/>
        <v>0</v>
      </c>
      <c r="I61" s="160">
        <f t="shared" si="0"/>
        <v>0</v>
      </c>
      <c r="J61" s="160"/>
      <c r="K61" s="335"/>
      <c r="L61" s="162">
        <f t="shared" si="1"/>
        <v>0</v>
      </c>
      <c r="M61" s="335"/>
      <c r="N61" s="162">
        <f t="shared" si="2"/>
        <v>0</v>
      </c>
      <c r="O61" s="162">
        <f t="shared" si="3"/>
        <v>0</v>
      </c>
      <c r="P61" s="4"/>
    </row>
    <row r="62" spans="2:16">
      <c r="B62" s="9" t="str">
        <f t="shared" si="8"/>
        <v/>
      </c>
      <c r="C62" s="157">
        <f>IF(D11="","-",+C61+1)</f>
        <v>2065</v>
      </c>
      <c r="D62" s="166">
        <f>IF(F61+SUM(E$17:E61)=D$10,F61,D$10-SUM(E$17:E61))</f>
        <v>0</v>
      </c>
      <c r="E62" s="164">
        <f t="shared" si="4"/>
        <v>0</v>
      </c>
      <c r="F62" s="163">
        <f t="shared" si="5"/>
        <v>0</v>
      </c>
      <c r="G62" s="165">
        <f t="shared" si="6"/>
        <v>0</v>
      </c>
      <c r="H62" s="147">
        <f t="shared" si="7"/>
        <v>0</v>
      </c>
      <c r="I62" s="160">
        <f t="shared" si="0"/>
        <v>0</v>
      </c>
      <c r="J62" s="160"/>
      <c r="K62" s="335"/>
      <c r="L62" s="162">
        <f t="shared" si="1"/>
        <v>0</v>
      </c>
      <c r="M62" s="335"/>
      <c r="N62" s="162">
        <f t="shared" si="2"/>
        <v>0</v>
      </c>
      <c r="O62" s="162">
        <f t="shared" si="3"/>
        <v>0</v>
      </c>
      <c r="P62" s="4"/>
    </row>
    <row r="63" spans="2:16">
      <c r="B63" s="9" t="str">
        <f t="shared" si="8"/>
        <v/>
      </c>
      <c r="C63" s="157">
        <f>IF(D11="","-",+C62+1)</f>
        <v>2066</v>
      </c>
      <c r="D63" s="166">
        <f>IF(F62+SUM(E$17:E62)=D$10,F62,D$10-SUM(E$17:E62))</f>
        <v>0</v>
      </c>
      <c r="E63" s="164">
        <f t="shared" si="4"/>
        <v>0</v>
      </c>
      <c r="F63" s="163">
        <f t="shared" si="5"/>
        <v>0</v>
      </c>
      <c r="G63" s="165">
        <f t="shared" si="6"/>
        <v>0</v>
      </c>
      <c r="H63" s="147">
        <f t="shared" si="7"/>
        <v>0</v>
      </c>
      <c r="I63" s="160">
        <f t="shared" si="0"/>
        <v>0</v>
      </c>
      <c r="J63" s="160"/>
      <c r="K63" s="335"/>
      <c r="L63" s="162">
        <f t="shared" si="1"/>
        <v>0</v>
      </c>
      <c r="M63" s="335"/>
      <c r="N63" s="162">
        <f t="shared" si="2"/>
        <v>0</v>
      </c>
      <c r="O63" s="162">
        <f t="shared" si="3"/>
        <v>0</v>
      </c>
      <c r="P63" s="4"/>
    </row>
    <row r="64" spans="2:16">
      <c r="B64" s="9" t="str">
        <f t="shared" si="8"/>
        <v/>
      </c>
      <c r="C64" s="157">
        <f>IF(D11="","-",+C63+1)</f>
        <v>2067</v>
      </c>
      <c r="D64" s="166">
        <f>IF(F63+SUM(E$17:E63)=D$10,F63,D$10-SUM(E$17:E63))</f>
        <v>0</v>
      </c>
      <c r="E64" s="164">
        <f t="shared" si="4"/>
        <v>0</v>
      </c>
      <c r="F64" s="163">
        <f t="shared" si="5"/>
        <v>0</v>
      </c>
      <c r="G64" s="165">
        <f t="shared" si="6"/>
        <v>0</v>
      </c>
      <c r="H64" s="147">
        <f t="shared" si="7"/>
        <v>0</v>
      </c>
      <c r="I64" s="160">
        <f t="shared" si="0"/>
        <v>0</v>
      </c>
      <c r="J64" s="160"/>
      <c r="K64" s="335"/>
      <c r="L64" s="162">
        <f t="shared" si="1"/>
        <v>0</v>
      </c>
      <c r="M64" s="335"/>
      <c r="N64" s="162">
        <f t="shared" si="2"/>
        <v>0</v>
      </c>
      <c r="O64" s="162">
        <f t="shared" si="3"/>
        <v>0</v>
      </c>
      <c r="P64" s="4"/>
    </row>
    <row r="65" spans="2:16">
      <c r="B65" s="9" t="str">
        <f t="shared" si="8"/>
        <v/>
      </c>
      <c r="C65" s="157">
        <f>IF(D11="","-",+C64+1)</f>
        <v>2068</v>
      </c>
      <c r="D65" s="166">
        <f>IF(F64+SUM(E$17:E64)=D$10,F64,D$10-SUM(E$17:E64))</f>
        <v>0</v>
      </c>
      <c r="E65" s="164">
        <f t="shared" si="4"/>
        <v>0</v>
      </c>
      <c r="F65" s="163">
        <f t="shared" si="5"/>
        <v>0</v>
      </c>
      <c r="G65" s="165">
        <f t="shared" si="6"/>
        <v>0</v>
      </c>
      <c r="H65" s="147">
        <f t="shared" si="7"/>
        <v>0</v>
      </c>
      <c r="I65" s="160">
        <f t="shared" si="0"/>
        <v>0</v>
      </c>
      <c r="J65" s="160"/>
      <c r="K65" s="335"/>
      <c r="L65" s="162">
        <f t="shared" si="1"/>
        <v>0</v>
      </c>
      <c r="M65" s="335"/>
      <c r="N65" s="162">
        <f t="shared" si="2"/>
        <v>0</v>
      </c>
      <c r="O65" s="162">
        <f t="shared" si="3"/>
        <v>0</v>
      </c>
      <c r="P65" s="4"/>
    </row>
    <row r="66" spans="2:16">
      <c r="B66" s="9" t="str">
        <f t="shared" si="8"/>
        <v/>
      </c>
      <c r="C66" s="157">
        <f>IF(D11="","-",+C65+1)</f>
        <v>2069</v>
      </c>
      <c r="D66" s="166">
        <f>IF(F65+SUM(E$17:E65)=D$10,F65,D$10-SUM(E$17:E65))</f>
        <v>0</v>
      </c>
      <c r="E66" s="164">
        <f t="shared" si="4"/>
        <v>0</v>
      </c>
      <c r="F66" s="163">
        <f t="shared" si="5"/>
        <v>0</v>
      </c>
      <c r="G66" s="165">
        <f t="shared" si="6"/>
        <v>0</v>
      </c>
      <c r="H66" s="147">
        <f t="shared" si="7"/>
        <v>0</v>
      </c>
      <c r="I66" s="160">
        <f t="shared" si="0"/>
        <v>0</v>
      </c>
      <c r="J66" s="160"/>
      <c r="K66" s="335"/>
      <c r="L66" s="162">
        <f t="shared" si="1"/>
        <v>0</v>
      </c>
      <c r="M66" s="335"/>
      <c r="N66" s="162">
        <f t="shared" si="2"/>
        <v>0</v>
      </c>
      <c r="O66" s="162">
        <f t="shared" si="3"/>
        <v>0</v>
      </c>
      <c r="P66" s="4"/>
    </row>
    <row r="67" spans="2:16">
      <c r="B67" s="9" t="str">
        <f t="shared" si="8"/>
        <v/>
      </c>
      <c r="C67" s="157">
        <f>IF(D11="","-",+C66+1)</f>
        <v>2070</v>
      </c>
      <c r="D67" s="166">
        <f>IF(F66+SUM(E$17:E66)=D$10,F66,D$10-SUM(E$17:E66))</f>
        <v>0</v>
      </c>
      <c r="E67" s="164">
        <f t="shared" si="4"/>
        <v>0</v>
      </c>
      <c r="F67" s="163">
        <f t="shared" si="5"/>
        <v>0</v>
      </c>
      <c r="G67" s="165">
        <f t="shared" si="6"/>
        <v>0</v>
      </c>
      <c r="H67" s="147">
        <f t="shared" si="7"/>
        <v>0</v>
      </c>
      <c r="I67" s="160">
        <f t="shared" si="0"/>
        <v>0</v>
      </c>
      <c r="J67" s="160"/>
      <c r="K67" s="335"/>
      <c r="L67" s="162">
        <f t="shared" si="1"/>
        <v>0</v>
      </c>
      <c r="M67" s="335"/>
      <c r="N67" s="162">
        <f t="shared" si="2"/>
        <v>0</v>
      </c>
      <c r="O67" s="162">
        <f t="shared" si="3"/>
        <v>0</v>
      </c>
      <c r="P67" s="4"/>
    </row>
    <row r="68" spans="2:16">
      <c r="B68" s="9" t="str">
        <f t="shared" si="8"/>
        <v/>
      </c>
      <c r="C68" s="157">
        <f>IF(D11="","-",+C67+1)</f>
        <v>2071</v>
      </c>
      <c r="D68" s="166">
        <f>IF(F67+SUM(E$17:E67)=D$10,F67,D$10-SUM(E$17:E67))</f>
        <v>0</v>
      </c>
      <c r="E68" s="164">
        <f t="shared" si="4"/>
        <v>0</v>
      </c>
      <c r="F68" s="163">
        <f t="shared" si="5"/>
        <v>0</v>
      </c>
      <c r="G68" s="165">
        <f t="shared" si="6"/>
        <v>0</v>
      </c>
      <c r="H68" s="147">
        <f t="shared" si="7"/>
        <v>0</v>
      </c>
      <c r="I68" s="160">
        <f t="shared" si="0"/>
        <v>0</v>
      </c>
      <c r="J68" s="160"/>
      <c r="K68" s="335"/>
      <c r="L68" s="162">
        <f t="shared" si="1"/>
        <v>0</v>
      </c>
      <c r="M68" s="335"/>
      <c r="N68" s="162">
        <f t="shared" si="2"/>
        <v>0</v>
      </c>
      <c r="O68" s="162">
        <f t="shared" si="3"/>
        <v>0</v>
      </c>
      <c r="P68" s="4"/>
    </row>
    <row r="69" spans="2:16">
      <c r="B69" s="9" t="str">
        <f t="shared" si="8"/>
        <v/>
      </c>
      <c r="C69" s="157">
        <f>IF(D11="","-",+C68+1)</f>
        <v>2072</v>
      </c>
      <c r="D69" s="166">
        <f>IF(F68+SUM(E$17:E68)=D$10,F68,D$10-SUM(E$17:E68))</f>
        <v>0</v>
      </c>
      <c r="E69" s="164">
        <f t="shared" si="4"/>
        <v>0</v>
      </c>
      <c r="F69" s="163">
        <f t="shared" si="5"/>
        <v>0</v>
      </c>
      <c r="G69" s="165">
        <f t="shared" si="6"/>
        <v>0</v>
      </c>
      <c r="H69" s="147">
        <f t="shared" si="7"/>
        <v>0</v>
      </c>
      <c r="I69" s="160">
        <f t="shared" si="0"/>
        <v>0</v>
      </c>
      <c r="J69" s="160"/>
      <c r="K69" s="335"/>
      <c r="L69" s="162">
        <f t="shared" si="1"/>
        <v>0</v>
      </c>
      <c r="M69" s="335"/>
      <c r="N69" s="162">
        <f t="shared" si="2"/>
        <v>0</v>
      </c>
      <c r="O69" s="162">
        <f t="shared" si="3"/>
        <v>0</v>
      </c>
      <c r="P69" s="4"/>
    </row>
    <row r="70" spans="2:16">
      <c r="B70" s="9" t="str">
        <f t="shared" si="8"/>
        <v/>
      </c>
      <c r="C70" s="157">
        <f>IF(D11="","-",+C69+1)</f>
        <v>2073</v>
      </c>
      <c r="D70" s="166">
        <f>IF(F69+SUM(E$17:E69)=D$10,F69,D$10-SUM(E$17:E69))</f>
        <v>0</v>
      </c>
      <c r="E70" s="164">
        <f t="shared" si="4"/>
        <v>0</v>
      </c>
      <c r="F70" s="163">
        <f t="shared" si="5"/>
        <v>0</v>
      </c>
      <c r="G70" s="165">
        <f t="shared" si="6"/>
        <v>0</v>
      </c>
      <c r="H70" s="147">
        <f t="shared" si="7"/>
        <v>0</v>
      </c>
      <c r="I70" s="160">
        <f t="shared" si="0"/>
        <v>0</v>
      </c>
      <c r="J70" s="160"/>
      <c r="K70" s="335"/>
      <c r="L70" s="162">
        <f t="shared" si="1"/>
        <v>0</v>
      </c>
      <c r="M70" s="335"/>
      <c r="N70" s="162">
        <f t="shared" si="2"/>
        <v>0</v>
      </c>
      <c r="O70" s="162">
        <f t="shared" si="3"/>
        <v>0</v>
      </c>
      <c r="P70" s="4"/>
    </row>
    <row r="71" spans="2:16">
      <c r="B71" s="9" t="str">
        <f t="shared" si="8"/>
        <v/>
      </c>
      <c r="C71" s="157">
        <f>IF(D11="","-",+C70+1)</f>
        <v>2074</v>
      </c>
      <c r="D71" s="166">
        <f>IF(F70+SUM(E$17:E70)=D$10,F70,D$10-SUM(E$17:E70))</f>
        <v>0</v>
      </c>
      <c r="E71" s="164">
        <f t="shared" si="4"/>
        <v>0</v>
      </c>
      <c r="F71" s="163">
        <f t="shared" si="5"/>
        <v>0</v>
      </c>
      <c r="G71" s="165">
        <f t="shared" si="6"/>
        <v>0</v>
      </c>
      <c r="H71" s="147">
        <f t="shared" si="7"/>
        <v>0</v>
      </c>
      <c r="I71" s="160">
        <f t="shared" si="0"/>
        <v>0</v>
      </c>
      <c r="J71" s="160"/>
      <c r="K71" s="335"/>
      <c r="L71" s="162">
        <f t="shared" si="1"/>
        <v>0</v>
      </c>
      <c r="M71" s="335"/>
      <c r="N71" s="162">
        <f t="shared" si="2"/>
        <v>0</v>
      </c>
      <c r="O71" s="162">
        <f t="shared" si="3"/>
        <v>0</v>
      </c>
      <c r="P71" s="4"/>
    </row>
    <row r="72" spans="2:16" ht="13.5" thickBot="1">
      <c r="B72" s="9" t="str">
        <f t="shared" si="8"/>
        <v/>
      </c>
      <c r="C72" s="168">
        <f>IF(D11="","-",+C71+1)</f>
        <v>2075</v>
      </c>
      <c r="D72" s="462">
        <f>IF(F71+SUM(E$17:E71)=D$10,F71,D$10-SUM(E$17:E71))</f>
        <v>0</v>
      </c>
      <c r="E72" s="170">
        <f t="shared" si="4"/>
        <v>0</v>
      </c>
      <c r="F72" s="169">
        <f t="shared" si="5"/>
        <v>0</v>
      </c>
      <c r="G72" s="377">
        <f t="shared" si="6"/>
        <v>0</v>
      </c>
      <c r="H72" s="130">
        <f t="shared" si="7"/>
        <v>0</v>
      </c>
      <c r="I72" s="172">
        <f t="shared" si="0"/>
        <v>0</v>
      </c>
      <c r="J72" s="160"/>
      <c r="K72" s="336"/>
      <c r="L72" s="173">
        <f t="shared" si="1"/>
        <v>0</v>
      </c>
      <c r="M72" s="336"/>
      <c r="N72" s="173">
        <f t="shared" si="2"/>
        <v>0</v>
      </c>
      <c r="O72" s="173">
        <f t="shared" si="3"/>
        <v>0</v>
      </c>
      <c r="P72" s="4"/>
    </row>
    <row r="73" spans="2:16">
      <c r="C73" s="158" t="s">
        <v>72</v>
      </c>
      <c r="D73" s="115"/>
      <c r="E73" s="115">
        <f>SUM(E17:E72)</f>
        <v>1677000</v>
      </c>
      <c r="F73" s="115"/>
      <c r="G73" s="115">
        <f>SUM(G17:G72)</f>
        <v>5480604.2284378242</v>
      </c>
      <c r="H73" s="115">
        <f>SUM(H17:H72)</f>
        <v>5480604.2284378242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28 of 28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2018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0</v>
      </c>
      <c r="N87" s="202">
        <f>IF(J92&lt;D11,0,VLOOKUP(J92,C17:O72,11))</f>
        <v>0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0</v>
      </c>
      <c r="N88" s="204">
        <f>IF(J92&lt;D11,0,VLOOKUP(J92,C99:P154,7))</f>
        <v>0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Keystone Dam - Wekiwa 138 kV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0</v>
      </c>
      <c r="N89" s="207">
        <f>+N88-N87</f>
        <v>0</v>
      </c>
      <c r="O89" s="208">
        <f>+O88-O87</f>
        <v>0</v>
      </c>
      <c r="P89" s="1"/>
    </row>
    <row r="90" spans="1:16" ht="13.5" thickBot="1">
      <c r="C90" s="174"/>
      <c r="D90" s="177">
        <f>D8</f>
        <v>0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>
        <f>+D9</f>
        <v>0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222">
        <f>IF(D11=I10,0,D10)</f>
        <v>0</v>
      </c>
      <c r="E92" s="22" t="s">
        <v>89</v>
      </c>
      <c r="H92" s="139"/>
      <c r="I92" s="139"/>
      <c r="J92" s="140">
        <f>+'PSO.WS.G.BPU.ATRR.True-up'!M16</f>
        <v>2018</v>
      </c>
      <c r="K92" s="136"/>
      <c r="L92" s="115" t="s">
        <v>90</v>
      </c>
      <c r="P92" s="4"/>
    </row>
    <row r="93" spans="1:16">
      <c r="C93" s="141" t="s">
        <v>48</v>
      </c>
      <c r="D93" s="223" t="str">
        <f>IF(D11=I10,"",D11)</f>
        <v/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 t="str">
        <f>IF(D11=I10,"",D12)</f>
        <v/>
      </c>
      <c r="E94" s="141" t="s">
        <v>51</v>
      </c>
      <c r="F94" s="139"/>
      <c r="G94" s="139"/>
      <c r="J94" s="145">
        <f>'PSO.WS.G.BPU.ATRR.True-up'!$F$81</f>
        <v>0.10273556682691798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43</v>
      </c>
      <c r="E95" s="141" t="s">
        <v>54</v>
      </c>
      <c r="F95" s="139"/>
      <c r="G95" s="139"/>
      <c r="J95" s="145">
        <f>IF(H87="",J94,'PSO.WS.G.BPU.ATRR.True-up'!$F$80)</f>
        <v>0.10273556682691798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0</v>
      </c>
      <c r="K96" s="115"/>
      <c r="L96" s="115"/>
      <c r="M96" s="115"/>
      <c r="N96" s="115"/>
      <c r="O96" s="115"/>
      <c r="P96" s="4"/>
    </row>
    <row r="97" spans="1:16" ht="38.25">
      <c r="A97" s="489"/>
      <c r="B97" s="489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277</v>
      </c>
      <c r="I97" s="339" t="s">
        <v>278</v>
      </c>
      <c r="J97" s="214" t="s">
        <v>93</v>
      </c>
      <c r="K97" s="216"/>
      <c r="L97" s="151" t="s">
        <v>97</v>
      </c>
      <c r="M97" s="151" t="s">
        <v>94</v>
      </c>
      <c r="N97" s="151" t="s">
        <v>97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 t="str">
        <f>IF(D93= "","-",D93)</f>
        <v>-</v>
      </c>
      <c r="D99" s="158">
        <v>0</v>
      </c>
      <c r="E99" s="165">
        <f>IF(OR(D11=I10,D92&lt;100000),0,J$96/12*(12-D94))</f>
        <v>0</v>
      </c>
      <c r="F99" s="163">
        <f>IF(D93=C99,+D92-E99,+D99-E99)</f>
        <v>0</v>
      </c>
      <c r="G99" s="218">
        <f>+(F99+D99)/2</f>
        <v>0</v>
      </c>
      <c r="H99" s="218">
        <f t="shared" ref="H99:H154" si="9">+J$94*G99+E99</f>
        <v>0</v>
      </c>
      <c r="I99" s="218">
        <f>+J$95*G99+E99</f>
        <v>0</v>
      </c>
      <c r="J99" s="162">
        <f t="shared" ref="J99:J130" si="10">+I99-H99</f>
        <v>0</v>
      </c>
      <c r="K99" s="162"/>
      <c r="L99" s="334"/>
      <c r="M99" s="161">
        <f t="shared" ref="M99:M130" si="11">IF(L99&lt;&gt;0,+H99-L99,0)</f>
        <v>0</v>
      </c>
      <c r="N99" s="334"/>
      <c r="O99" s="161">
        <f t="shared" ref="O99:O130" si="12">IF(N99&lt;&gt;0,+I99-N99,0)</f>
        <v>0</v>
      </c>
      <c r="P99" s="161">
        <f t="shared" ref="P99:P130" si="13">+O99-M99</f>
        <v>0</v>
      </c>
    </row>
    <row r="100" spans="1:16">
      <c r="B100" s="9" t="str">
        <f>IF(D100=F99,"","IU")</f>
        <v/>
      </c>
      <c r="C100" s="157" t="str">
        <f>IF(D93="","-",+C99+1)</f>
        <v>-</v>
      </c>
      <c r="D100" s="158">
        <f>IF(F99+SUM(E$99:E99)=D$92,F99,D$92-SUM(E$99:E99))</f>
        <v>0</v>
      </c>
      <c r="E100" s="164">
        <f>IF(+J$96&lt;F99,J$96,D100)</f>
        <v>0</v>
      </c>
      <c r="F100" s="163">
        <f>+D100-E100</f>
        <v>0</v>
      </c>
      <c r="G100" s="163">
        <f>+(F100+D100)/2</f>
        <v>0</v>
      </c>
      <c r="H100" s="333">
        <f t="shared" si="9"/>
        <v>0</v>
      </c>
      <c r="I100" s="344">
        <f t="shared" ref="I100:I154" si="14">+J$95*G100+E100</f>
        <v>0</v>
      </c>
      <c r="J100" s="162">
        <f t="shared" si="10"/>
        <v>0</v>
      </c>
      <c r="K100" s="162"/>
      <c r="L100" s="335"/>
      <c r="M100" s="162">
        <f t="shared" si="11"/>
        <v>0</v>
      </c>
      <c r="N100" s="335"/>
      <c r="O100" s="162">
        <f t="shared" si="12"/>
        <v>0</v>
      </c>
      <c r="P100" s="162">
        <f t="shared" si="13"/>
        <v>0</v>
      </c>
    </row>
    <row r="101" spans="1:16">
      <c r="B101" s="9" t="str">
        <f t="shared" ref="B101:B154" si="15">IF(D101=F100,"","IU")</f>
        <v/>
      </c>
      <c r="C101" s="157" t="str">
        <f>IF(D93="","-",+C100+1)</f>
        <v>-</v>
      </c>
      <c r="D101" s="158">
        <f>IF(F100+SUM(E$99:E100)=D$92,F100,D$92-SUM(E$99:E100))</f>
        <v>0</v>
      </c>
      <c r="E101" s="164">
        <f t="shared" ref="E101:E154" si="16">IF(+J$96&lt;F100,J$96,D101)</f>
        <v>0</v>
      </c>
      <c r="F101" s="163">
        <f t="shared" ref="F101:F154" si="17">+D101-E101</f>
        <v>0</v>
      </c>
      <c r="G101" s="163">
        <f t="shared" ref="G101:G154" si="18">+(F101+D101)/2</f>
        <v>0</v>
      </c>
      <c r="H101" s="333">
        <f t="shared" si="9"/>
        <v>0</v>
      </c>
      <c r="I101" s="344">
        <f t="shared" si="14"/>
        <v>0</v>
      </c>
      <c r="J101" s="162">
        <f t="shared" si="10"/>
        <v>0</v>
      </c>
      <c r="K101" s="162"/>
      <c r="L101" s="335"/>
      <c r="M101" s="162">
        <f t="shared" si="11"/>
        <v>0</v>
      </c>
      <c r="N101" s="335"/>
      <c r="O101" s="162">
        <f t="shared" si="12"/>
        <v>0</v>
      </c>
      <c r="P101" s="162">
        <f t="shared" si="13"/>
        <v>0</v>
      </c>
    </row>
    <row r="102" spans="1:16">
      <c r="B102" s="9" t="str">
        <f t="shared" si="15"/>
        <v/>
      </c>
      <c r="C102" s="157" t="str">
        <f>IF(D93="","-",+C101+1)</f>
        <v>-</v>
      </c>
      <c r="D102" s="158">
        <f>IF(F101+SUM(E$99:E101)=D$92,F101,D$92-SUM(E$99:E101))</f>
        <v>0</v>
      </c>
      <c r="E102" s="164">
        <f t="shared" si="16"/>
        <v>0</v>
      </c>
      <c r="F102" s="163">
        <f t="shared" si="17"/>
        <v>0</v>
      </c>
      <c r="G102" s="163">
        <f t="shared" si="18"/>
        <v>0</v>
      </c>
      <c r="H102" s="333">
        <f t="shared" si="9"/>
        <v>0</v>
      </c>
      <c r="I102" s="344">
        <f t="shared" si="14"/>
        <v>0</v>
      </c>
      <c r="J102" s="162">
        <f t="shared" si="10"/>
        <v>0</v>
      </c>
      <c r="K102" s="162"/>
      <c r="L102" s="335"/>
      <c r="M102" s="162">
        <f t="shared" si="11"/>
        <v>0</v>
      </c>
      <c r="N102" s="335"/>
      <c r="O102" s="162">
        <f t="shared" si="12"/>
        <v>0</v>
      </c>
      <c r="P102" s="162">
        <f t="shared" si="13"/>
        <v>0</v>
      </c>
    </row>
    <row r="103" spans="1:16">
      <c r="B103" s="9" t="str">
        <f t="shared" si="15"/>
        <v/>
      </c>
      <c r="C103" s="157" t="str">
        <f>IF(D93="","-",+C102+1)</f>
        <v>-</v>
      </c>
      <c r="D103" s="158">
        <f>IF(F102+SUM(E$99:E102)=D$92,F102,D$92-SUM(E$99:E102))</f>
        <v>0</v>
      </c>
      <c r="E103" s="164">
        <f t="shared" si="16"/>
        <v>0</v>
      </c>
      <c r="F103" s="163">
        <f t="shared" si="17"/>
        <v>0</v>
      </c>
      <c r="G103" s="163">
        <f t="shared" si="18"/>
        <v>0</v>
      </c>
      <c r="H103" s="333">
        <f t="shared" si="9"/>
        <v>0</v>
      </c>
      <c r="I103" s="344">
        <f t="shared" si="14"/>
        <v>0</v>
      </c>
      <c r="J103" s="162">
        <f t="shared" si="10"/>
        <v>0</v>
      </c>
      <c r="K103" s="162"/>
      <c r="L103" s="335"/>
      <c r="M103" s="162">
        <f t="shared" si="11"/>
        <v>0</v>
      </c>
      <c r="N103" s="335"/>
      <c r="O103" s="162">
        <f t="shared" si="12"/>
        <v>0</v>
      </c>
      <c r="P103" s="162">
        <f t="shared" si="13"/>
        <v>0</v>
      </c>
    </row>
    <row r="104" spans="1:16">
      <c r="B104" s="9" t="str">
        <f t="shared" si="15"/>
        <v/>
      </c>
      <c r="C104" s="157" t="str">
        <f>IF(D93="","-",+C103+1)</f>
        <v>-</v>
      </c>
      <c r="D104" s="158">
        <f>IF(F103+SUM(E$99:E103)=D$92,F103,D$92-SUM(E$99:E103))</f>
        <v>0</v>
      </c>
      <c r="E104" s="164">
        <f t="shared" si="16"/>
        <v>0</v>
      </c>
      <c r="F104" s="163">
        <f t="shared" si="17"/>
        <v>0</v>
      </c>
      <c r="G104" s="163">
        <f t="shared" si="18"/>
        <v>0</v>
      </c>
      <c r="H104" s="333">
        <f t="shared" si="9"/>
        <v>0</v>
      </c>
      <c r="I104" s="344">
        <f t="shared" si="14"/>
        <v>0</v>
      </c>
      <c r="J104" s="162">
        <f t="shared" si="10"/>
        <v>0</v>
      </c>
      <c r="K104" s="162"/>
      <c r="L104" s="335"/>
      <c r="M104" s="162">
        <f t="shared" si="11"/>
        <v>0</v>
      </c>
      <c r="N104" s="335"/>
      <c r="O104" s="162">
        <f t="shared" si="12"/>
        <v>0</v>
      </c>
      <c r="P104" s="162">
        <f t="shared" si="13"/>
        <v>0</v>
      </c>
    </row>
    <row r="105" spans="1:16">
      <c r="B105" s="9" t="str">
        <f t="shared" si="15"/>
        <v/>
      </c>
      <c r="C105" s="157" t="str">
        <f>IF(D93="","-",+C104+1)</f>
        <v>-</v>
      </c>
      <c r="D105" s="158">
        <f>IF(F104+SUM(E$99:E104)=D$92,F104,D$92-SUM(E$99:E104))</f>
        <v>0</v>
      </c>
      <c r="E105" s="164">
        <f t="shared" si="16"/>
        <v>0</v>
      </c>
      <c r="F105" s="163">
        <f t="shared" si="17"/>
        <v>0</v>
      </c>
      <c r="G105" s="163">
        <f t="shared" si="18"/>
        <v>0</v>
      </c>
      <c r="H105" s="333">
        <f t="shared" si="9"/>
        <v>0</v>
      </c>
      <c r="I105" s="344">
        <f t="shared" si="14"/>
        <v>0</v>
      </c>
      <c r="J105" s="162">
        <f t="shared" si="10"/>
        <v>0</v>
      </c>
      <c r="K105" s="162"/>
      <c r="L105" s="335"/>
      <c r="M105" s="162">
        <f t="shared" si="11"/>
        <v>0</v>
      </c>
      <c r="N105" s="335"/>
      <c r="O105" s="162">
        <f t="shared" si="12"/>
        <v>0</v>
      </c>
      <c r="P105" s="162">
        <f t="shared" si="13"/>
        <v>0</v>
      </c>
    </row>
    <row r="106" spans="1:16">
      <c r="B106" s="9" t="str">
        <f t="shared" si="15"/>
        <v/>
      </c>
      <c r="C106" s="157" t="str">
        <f>IF(D93="","-",+C105+1)</f>
        <v>-</v>
      </c>
      <c r="D106" s="158">
        <f>IF(F105+SUM(E$99:E105)=D$92,F105,D$92-SUM(E$99:E105))</f>
        <v>0</v>
      </c>
      <c r="E106" s="164">
        <f t="shared" si="16"/>
        <v>0</v>
      </c>
      <c r="F106" s="163">
        <f t="shared" si="17"/>
        <v>0</v>
      </c>
      <c r="G106" s="163">
        <f t="shared" si="18"/>
        <v>0</v>
      </c>
      <c r="H106" s="333">
        <f t="shared" si="9"/>
        <v>0</v>
      </c>
      <c r="I106" s="344">
        <f t="shared" si="14"/>
        <v>0</v>
      </c>
      <c r="J106" s="162">
        <f t="shared" si="10"/>
        <v>0</v>
      </c>
      <c r="K106" s="162"/>
      <c r="L106" s="335"/>
      <c r="M106" s="162">
        <f t="shared" si="11"/>
        <v>0</v>
      </c>
      <c r="N106" s="335"/>
      <c r="O106" s="162">
        <f t="shared" si="12"/>
        <v>0</v>
      </c>
      <c r="P106" s="162">
        <f t="shared" si="13"/>
        <v>0</v>
      </c>
    </row>
    <row r="107" spans="1:16">
      <c r="B107" s="9" t="str">
        <f t="shared" si="15"/>
        <v/>
      </c>
      <c r="C107" s="157" t="str">
        <f>IF(D93="","-",+C106+1)</f>
        <v>-</v>
      </c>
      <c r="D107" s="158">
        <f>IF(F106+SUM(E$99:E106)=D$92,F106,D$92-SUM(E$99:E106))</f>
        <v>0</v>
      </c>
      <c r="E107" s="164">
        <f t="shared" si="16"/>
        <v>0</v>
      </c>
      <c r="F107" s="163">
        <f t="shared" si="17"/>
        <v>0</v>
      </c>
      <c r="G107" s="163">
        <f t="shared" si="18"/>
        <v>0</v>
      </c>
      <c r="H107" s="333">
        <f t="shared" si="9"/>
        <v>0</v>
      </c>
      <c r="I107" s="344">
        <f t="shared" si="14"/>
        <v>0</v>
      </c>
      <c r="J107" s="162">
        <f t="shared" si="10"/>
        <v>0</v>
      </c>
      <c r="K107" s="162"/>
      <c r="L107" s="335"/>
      <c r="M107" s="162">
        <f t="shared" si="11"/>
        <v>0</v>
      </c>
      <c r="N107" s="335"/>
      <c r="O107" s="162">
        <f t="shared" si="12"/>
        <v>0</v>
      </c>
      <c r="P107" s="162">
        <f t="shared" si="13"/>
        <v>0</v>
      </c>
    </row>
    <row r="108" spans="1:16">
      <c r="B108" s="9" t="str">
        <f t="shared" si="15"/>
        <v/>
      </c>
      <c r="C108" s="157" t="str">
        <f>IF(D93="","-",+C107+1)</f>
        <v>-</v>
      </c>
      <c r="D108" s="158">
        <f>IF(F107+SUM(E$99:E107)=D$92,F107,D$92-SUM(E$99:E107))</f>
        <v>0</v>
      </c>
      <c r="E108" s="164">
        <f t="shared" si="16"/>
        <v>0</v>
      </c>
      <c r="F108" s="163">
        <f t="shared" si="17"/>
        <v>0</v>
      </c>
      <c r="G108" s="163">
        <f t="shared" si="18"/>
        <v>0</v>
      </c>
      <c r="H108" s="333">
        <f t="shared" si="9"/>
        <v>0</v>
      </c>
      <c r="I108" s="344">
        <f t="shared" si="14"/>
        <v>0</v>
      </c>
      <c r="J108" s="162">
        <f t="shared" si="10"/>
        <v>0</v>
      </c>
      <c r="K108" s="162"/>
      <c r="L108" s="335"/>
      <c r="M108" s="162">
        <f t="shared" si="11"/>
        <v>0</v>
      </c>
      <c r="N108" s="335"/>
      <c r="O108" s="162">
        <f t="shared" si="12"/>
        <v>0</v>
      </c>
      <c r="P108" s="162">
        <f t="shared" si="13"/>
        <v>0</v>
      </c>
    </row>
    <row r="109" spans="1:16">
      <c r="B109" s="9" t="str">
        <f t="shared" si="15"/>
        <v/>
      </c>
      <c r="C109" s="157" t="str">
        <f>IF(D93="","-",+C108+1)</f>
        <v>-</v>
      </c>
      <c r="D109" s="158">
        <f>IF(F108+SUM(E$99:E108)=D$92,F108,D$92-SUM(E$99:E108))</f>
        <v>0</v>
      </c>
      <c r="E109" s="164">
        <f t="shared" si="16"/>
        <v>0</v>
      </c>
      <c r="F109" s="163">
        <f t="shared" si="17"/>
        <v>0</v>
      </c>
      <c r="G109" s="163">
        <f t="shared" si="18"/>
        <v>0</v>
      </c>
      <c r="H109" s="333">
        <f t="shared" si="9"/>
        <v>0</v>
      </c>
      <c r="I109" s="344">
        <f t="shared" si="14"/>
        <v>0</v>
      </c>
      <c r="J109" s="162">
        <f t="shared" si="10"/>
        <v>0</v>
      </c>
      <c r="K109" s="162"/>
      <c r="L109" s="335"/>
      <c r="M109" s="162">
        <f t="shared" si="11"/>
        <v>0</v>
      </c>
      <c r="N109" s="335"/>
      <c r="O109" s="162">
        <f t="shared" si="12"/>
        <v>0</v>
      </c>
      <c r="P109" s="162">
        <f t="shared" si="13"/>
        <v>0</v>
      </c>
    </row>
    <row r="110" spans="1:16">
      <c r="B110" s="9" t="str">
        <f t="shared" si="15"/>
        <v/>
      </c>
      <c r="C110" s="157" t="str">
        <f>IF(D93="","-",+C109+1)</f>
        <v>-</v>
      </c>
      <c r="D110" s="158">
        <f>IF(F109+SUM(E$99:E109)=D$92,F109,D$92-SUM(E$99:E109))</f>
        <v>0</v>
      </c>
      <c r="E110" s="164">
        <f t="shared" si="16"/>
        <v>0</v>
      </c>
      <c r="F110" s="163">
        <f t="shared" si="17"/>
        <v>0</v>
      </c>
      <c r="G110" s="163">
        <f t="shared" si="18"/>
        <v>0</v>
      </c>
      <c r="H110" s="333">
        <f t="shared" si="9"/>
        <v>0</v>
      </c>
      <c r="I110" s="344">
        <f t="shared" si="14"/>
        <v>0</v>
      </c>
      <c r="J110" s="162">
        <f t="shared" si="10"/>
        <v>0</v>
      </c>
      <c r="K110" s="162"/>
      <c r="L110" s="335"/>
      <c r="M110" s="162">
        <f t="shared" si="11"/>
        <v>0</v>
      </c>
      <c r="N110" s="335"/>
      <c r="O110" s="162">
        <f t="shared" si="12"/>
        <v>0</v>
      </c>
      <c r="P110" s="162">
        <f t="shared" si="13"/>
        <v>0</v>
      </c>
    </row>
    <row r="111" spans="1:16">
      <c r="B111" s="9" t="str">
        <f t="shared" si="15"/>
        <v/>
      </c>
      <c r="C111" s="157" t="str">
        <f>IF(D93="","-",+C110+1)</f>
        <v>-</v>
      </c>
      <c r="D111" s="158">
        <f>IF(F110+SUM(E$99:E110)=D$92,F110,D$92-SUM(E$99:E110))</f>
        <v>0</v>
      </c>
      <c r="E111" s="164">
        <f t="shared" si="16"/>
        <v>0</v>
      </c>
      <c r="F111" s="163">
        <f t="shared" si="17"/>
        <v>0</v>
      </c>
      <c r="G111" s="163">
        <f t="shared" si="18"/>
        <v>0</v>
      </c>
      <c r="H111" s="333">
        <f t="shared" si="9"/>
        <v>0</v>
      </c>
      <c r="I111" s="344">
        <f t="shared" si="14"/>
        <v>0</v>
      </c>
      <c r="J111" s="162">
        <f t="shared" si="10"/>
        <v>0</v>
      </c>
      <c r="K111" s="162"/>
      <c r="L111" s="335"/>
      <c r="M111" s="162">
        <f t="shared" si="11"/>
        <v>0</v>
      </c>
      <c r="N111" s="335"/>
      <c r="O111" s="162">
        <f t="shared" si="12"/>
        <v>0</v>
      </c>
      <c r="P111" s="162">
        <f t="shared" si="13"/>
        <v>0</v>
      </c>
    </row>
    <row r="112" spans="1:16">
      <c r="B112" s="9" t="str">
        <f t="shared" si="15"/>
        <v/>
      </c>
      <c r="C112" s="157" t="str">
        <f>IF(D93="","-",+C111+1)</f>
        <v>-</v>
      </c>
      <c r="D112" s="158">
        <f>IF(F111+SUM(E$99:E111)=D$92,F111,D$92-SUM(E$99:E111))</f>
        <v>0</v>
      </c>
      <c r="E112" s="164">
        <f t="shared" si="16"/>
        <v>0</v>
      </c>
      <c r="F112" s="163">
        <f t="shared" si="17"/>
        <v>0</v>
      </c>
      <c r="G112" s="163">
        <f t="shared" si="18"/>
        <v>0</v>
      </c>
      <c r="H112" s="333">
        <f t="shared" si="9"/>
        <v>0</v>
      </c>
      <c r="I112" s="344">
        <f t="shared" si="14"/>
        <v>0</v>
      </c>
      <c r="J112" s="162">
        <f t="shared" si="10"/>
        <v>0</v>
      </c>
      <c r="K112" s="162"/>
      <c r="L112" s="335"/>
      <c r="M112" s="162">
        <f t="shared" si="11"/>
        <v>0</v>
      </c>
      <c r="N112" s="335"/>
      <c r="O112" s="162">
        <f t="shared" si="12"/>
        <v>0</v>
      </c>
      <c r="P112" s="162">
        <f t="shared" si="13"/>
        <v>0</v>
      </c>
    </row>
    <row r="113" spans="2:16">
      <c r="B113" s="9" t="str">
        <f t="shared" si="15"/>
        <v/>
      </c>
      <c r="C113" s="157" t="str">
        <f>IF(D93="","-",+C112+1)</f>
        <v>-</v>
      </c>
      <c r="D113" s="158">
        <f>IF(F112+SUM(E$99:E112)=D$92,F112,D$92-SUM(E$99:E112))</f>
        <v>0</v>
      </c>
      <c r="E113" s="164">
        <f t="shared" si="16"/>
        <v>0</v>
      </c>
      <c r="F113" s="163">
        <f t="shared" si="17"/>
        <v>0</v>
      </c>
      <c r="G113" s="163">
        <f t="shared" si="18"/>
        <v>0</v>
      </c>
      <c r="H113" s="333">
        <f t="shared" si="9"/>
        <v>0</v>
      </c>
      <c r="I113" s="344">
        <f t="shared" si="14"/>
        <v>0</v>
      </c>
      <c r="J113" s="162">
        <f t="shared" si="10"/>
        <v>0</v>
      </c>
      <c r="K113" s="162"/>
      <c r="L113" s="335"/>
      <c r="M113" s="162">
        <f t="shared" si="11"/>
        <v>0</v>
      </c>
      <c r="N113" s="335"/>
      <c r="O113" s="162">
        <f t="shared" si="12"/>
        <v>0</v>
      </c>
      <c r="P113" s="162">
        <f t="shared" si="13"/>
        <v>0</v>
      </c>
    </row>
    <row r="114" spans="2:16">
      <c r="B114" s="9" t="str">
        <f t="shared" si="15"/>
        <v/>
      </c>
      <c r="C114" s="157" t="str">
        <f>IF(D93="","-",+C113+1)</f>
        <v>-</v>
      </c>
      <c r="D114" s="158">
        <f>IF(F113+SUM(E$99:E113)=D$92,F113,D$92-SUM(E$99:E113))</f>
        <v>0</v>
      </c>
      <c r="E114" s="164">
        <f t="shared" si="16"/>
        <v>0</v>
      </c>
      <c r="F114" s="163">
        <f t="shared" si="17"/>
        <v>0</v>
      </c>
      <c r="G114" s="163">
        <f t="shared" si="18"/>
        <v>0</v>
      </c>
      <c r="H114" s="333">
        <f t="shared" si="9"/>
        <v>0</v>
      </c>
      <c r="I114" s="344">
        <f t="shared" si="14"/>
        <v>0</v>
      </c>
      <c r="J114" s="162">
        <f t="shared" si="10"/>
        <v>0</v>
      </c>
      <c r="K114" s="162"/>
      <c r="L114" s="335"/>
      <c r="M114" s="162">
        <f t="shared" si="11"/>
        <v>0</v>
      </c>
      <c r="N114" s="335"/>
      <c r="O114" s="162">
        <f t="shared" si="12"/>
        <v>0</v>
      </c>
      <c r="P114" s="162">
        <f t="shared" si="13"/>
        <v>0</v>
      </c>
    </row>
    <row r="115" spans="2:16">
      <c r="B115" s="9" t="str">
        <f t="shared" si="15"/>
        <v/>
      </c>
      <c r="C115" s="157" t="str">
        <f>IF(D93="","-",+C114+1)</f>
        <v>-</v>
      </c>
      <c r="D115" s="158">
        <f>IF(F114+SUM(E$99:E114)=D$92,F114,D$92-SUM(E$99:E114))</f>
        <v>0</v>
      </c>
      <c r="E115" s="164">
        <f t="shared" si="16"/>
        <v>0</v>
      </c>
      <c r="F115" s="163">
        <f t="shared" si="17"/>
        <v>0</v>
      </c>
      <c r="G115" s="163">
        <f t="shared" si="18"/>
        <v>0</v>
      </c>
      <c r="H115" s="333">
        <f t="shared" si="9"/>
        <v>0</v>
      </c>
      <c r="I115" s="344">
        <f t="shared" si="14"/>
        <v>0</v>
      </c>
      <c r="J115" s="162">
        <f t="shared" si="10"/>
        <v>0</v>
      </c>
      <c r="K115" s="162"/>
      <c r="L115" s="335"/>
      <c r="M115" s="162">
        <f t="shared" si="11"/>
        <v>0</v>
      </c>
      <c r="N115" s="335"/>
      <c r="O115" s="162">
        <f t="shared" si="12"/>
        <v>0</v>
      </c>
      <c r="P115" s="162">
        <f t="shared" si="13"/>
        <v>0</v>
      </c>
    </row>
    <row r="116" spans="2:16">
      <c r="B116" s="9" t="str">
        <f t="shared" si="15"/>
        <v/>
      </c>
      <c r="C116" s="157" t="str">
        <f>IF(D93="","-",+C115+1)</f>
        <v>-</v>
      </c>
      <c r="D116" s="158">
        <f>IF(F115+SUM(E$99:E115)=D$92,F115,D$92-SUM(E$99:E115))</f>
        <v>0</v>
      </c>
      <c r="E116" s="164">
        <f t="shared" si="16"/>
        <v>0</v>
      </c>
      <c r="F116" s="163">
        <f t="shared" si="17"/>
        <v>0</v>
      </c>
      <c r="G116" s="163">
        <f t="shared" si="18"/>
        <v>0</v>
      </c>
      <c r="H116" s="333">
        <f t="shared" si="9"/>
        <v>0</v>
      </c>
      <c r="I116" s="344">
        <f t="shared" si="14"/>
        <v>0</v>
      </c>
      <c r="J116" s="162">
        <f t="shared" si="10"/>
        <v>0</v>
      </c>
      <c r="K116" s="162"/>
      <c r="L116" s="335"/>
      <c r="M116" s="162">
        <f t="shared" si="11"/>
        <v>0</v>
      </c>
      <c r="N116" s="335"/>
      <c r="O116" s="162">
        <f t="shared" si="12"/>
        <v>0</v>
      </c>
      <c r="P116" s="162">
        <f t="shared" si="13"/>
        <v>0</v>
      </c>
    </row>
    <row r="117" spans="2:16">
      <c r="B117" s="9" t="str">
        <f t="shared" si="15"/>
        <v/>
      </c>
      <c r="C117" s="157" t="str">
        <f>IF(D93="","-",+C116+1)</f>
        <v>-</v>
      </c>
      <c r="D117" s="158">
        <f>IF(F116+SUM(E$99:E116)=D$92,F116,D$92-SUM(E$99:E116))</f>
        <v>0</v>
      </c>
      <c r="E117" s="164">
        <f t="shared" si="16"/>
        <v>0</v>
      </c>
      <c r="F117" s="163">
        <f t="shared" si="17"/>
        <v>0</v>
      </c>
      <c r="G117" s="163">
        <f t="shared" si="18"/>
        <v>0</v>
      </c>
      <c r="H117" s="333">
        <f t="shared" si="9"/>
        <v>0</v>
      </c>
      <c r="I117" s="344">
        <f t="shared" si="14"/>
        <v>0</v>
      </c>
      <c r="J117" s="162">
        <f t="shared" si="10"/>
        <v>0</v>
      </c>
      <c r="K117" s="162"/>
      <c r="L117" s="335"/>
      <c r="M117" s="162">
        <f t="shared" si="11"/>
        <v>0</v>
      </c>
      <c r="N117" s="335"/>
      <c r="O117" s="162">
        <f t="shared" si="12"/>
        <v>0</v>
      </c>
      <c r="P117" s="162">
        <f t="shared" si="13"/>
        <v>0</v>
      </c>
    </row>
    <row r="118" spans="2:16">
      <c r="B118" s="9" t="str">
        <f t="shared" si="15"/>
        <v/>
      </c>
      <c r="C118" s="157" t="str">
        <f>IF(D93="","-",+C117+1)</f>
        <v>-</v>
      </c>
      <c r="D118" s="158">
        <f>IF(F117+SUM(E$99:E117)=D$92,F117,D$92-SUM(E$99:E117))</f>
        <v>0</v>
      </c>
      <c r="E118" s="164">
        <f t="shared" si="16"/>
        <v>0</v>
      </c>
      <c r="F118" s="163">
        <f t="shared" si="17"/>
        <v>0</v>
      </c>
      <c r="G118" s="163">
        <f t="shared" si="18"/>
        <v>0</v>
      </c>
      <c r="H118" s="333">
        <f t="shared" si="9"/>
        <v>0</v>
      </c>
      <c r="I118" s="344">
        <f t="shared" si="14"/>
        <v>0</v>
      </c>
      <c r="J118" s="162">
        <f t="shared" si="10"/>
        <v>0</v>
      </c>
      <c r="K118" s="162"/>
      <c r="L118" s="335"/>
      <c r="M118" s="162">
        <f t="shared" si="11"/>
        <v>0</v>
      </c>
      <c r="N118" s="335"/>
      <c r="O118" s="162">
        <f t="shared" si="12"/>
        <v>0</v>
      </c>
      <c r="P118" s="162">
        <f t="shared" si="13"/>
        <v>0</v>
      </c>
    </row>
    <row r="119" spans="2:16">
      <c r="B119" s="9" t="str">
        <f t="shared" si="15"/>
        <v/>
      </c>
      <c r="C119" s="157" t="str">
        <f>IF(D93="","-",+C118+1)</f>
        <v>-</v>
      </c>
      <c r="D119" s="158">
        <f>IF(F118+SUM(E$99:E118)=D$92,F118,D$92-SUM(E$99:E118))</f>
        <v>0</v>
      </c>
      <c r="E119" s="164">
        <f t="shared" si="16"/>
        <v>0</v>
      </c>
      <c r="F119" s="163">
        <f t="shared" si="17"/>
        <v>0</v>
      </c>
      <c r="G119" s="163">
        <f t="shared" si="18"/>
        <v>0</v>
      </c>
      <c r="H119" s="333">
        <f t="shared" si="9"/>
        <v>0</v>
      </c>
      <c r="I119" s="344">
        <f t="shared" si="14"/>
        <v>0</v>
      </c>
      <c r="J119" s="162">
        <f t="shared" si="10"/>
        <v>0</v>
      </c>
      <c r="K119" s="162"/>
      <c r="L119" s="335"/>
      <c r="M119" s="162">
        <f t="shared" si="11"/>
        <v>0</v>
      </c>
      <c r="N119" s="335"/>
      <c r="O119" s="162">
        <f t="shared" si="12"/>
        <v>0</v>
      </c>
      <c r="P119" s="162">
        <f t="shared" si="13"/>
        <v>0</v>
      </c>
    </row>
    <row r="120" spans="2:16">
      <c r="B120" s="9" t="str">
        <f t="shared" si="15"/>
        <v/>
      </c>
      <c r="C120" s="157" t="str">
        <f>IF(D93="","-",+C119+1)</f>
        <v>-</v>
      </c>
      <c r="D120" s="158">
        <f>IF(F119+SUM(E$99:E119)=D$92,F119,D$92-SUM(E$99:E119))</f>
        <v>0</v>
      </c>
      <c r="E120" s="164">
        <f t="shared" si="16"/>
        <v>0</v>
      </c>
      <c r="F120" s="163">
        <f t="shared" si="17"/>
        <v>0</v>
      </c>
      <c r="G120" s="163">
        <f t="shared" si="18"/>
        <v>0</v>
      </c>
      <c r="H120" s="333">
        <f t="shared" si="9"/>
        <v>0</v>
      </c>
      <c r="I120" s="344">
        <f t="shared" si="14"/>
        <v>0</v>
      </c>
      <c r="J120" s="162">
        <f t="shared" si="10"/>
        <v>0</v>
      </c>
      <c r="K120" s="162"/>
      <c r="L120" s="335"/>
      <c r="M120" s="162">
        <f t="shared" si="11"/>
        <v>0</v>
      </c>
      <c r="N120" s="335"/>
      <c r="O120" s="162">
        <f t="shared" si="12"/>
        <v>0</v>
      </c>
      <c r="P120" s="162">
        <f t="shared" si="13"/>
        <v>0</v>
      </c>
    </row>
    <row r="121" spans="2:16">
      <c r="B121" s="9" t="str">
        <f t="shared" si="15"/>
        <v/>
      </c>
      <c r="C121" s="157" t="str">
        <f>IF(D93="","-",+C120+1)</f>
        <v>-</v>
      </c>
      <c r="D121" s="158">
        <f>IF(F120+SUM(E$99:E120)=D$92,F120,D$92-SUM(E$99:E120))</f>
        <v>0</v>
      </c>
      <c r="E121" s="164">
        <f t="shared" si="16"/>
        <v>0</v>
      </c>
      <c r="F121" s="163">
        <f t="shared" si="17"/>
        <v>0</v>
      </c>
      <c r="G121" s="163">
        <f t="shared" si="18"/>
        <v>0</v>
      </c>
      <c r="H121" s="333">
        <f t="shared" si="9"/>
        <v>0</v>
      </c>
      <c r="I121" s="344">
        <f t="shared" si="14"/>
        <v>0</v>
      </c>
      <c r="J121" s="162">
        <f t="shared" si="10"/>
        <v>0</v>
      </c>
      <c r="K121" s="162"/>
      <c r="L121" s="335"/>
      <c r="M121" s="162">
        <f t="shared" si="11"/>
        <v>0</v>
      </c>
      <c r="N121" s="335"/>
      <c r="O121" s="162">
        <f t="shared" si="12"/>
        <v>0</v>
      </c>
      <c r="P121" s="162">
        <f t="shared" si="13"/>
        <v>0</v>
      </c>
    </row>
    <row r="122" spans="2:16">
      <c r="B122" s="9" t="str">
        <f t="shared" si="15"/>
        <v/>
      </c>
      <c r="C122" s="157" t="str">
        <f>IF(D93="","-",+C121+1)</f>
        <v>-</v>
      </c>
      <c r="D122" s="158">
        <f>IF(F121+SUM(E$99:E121)=D$92,F121,D$92-SUM(E$99:E121))</f>
        <v>0</v>
      </c>
      <c r="E122" s="164">
        <f t="shared" si="16"/>
        <v>0</v>
      </c>
      <c r="F122" s="163">
        <f t="shared" si="17"/>
        <v>0</v>
      </c>
      <c r="G122" s="163">
        <f t="shared" si="18"/>
        <v>0</v>
      </c>
      <c r="H122" s="333">
        <f t="shared" si="9"/>
        <v>0</v>
      </c>
      <c r="I122" s="344">
        <f t="shared" si="14"/>
        <v>0</v>
      </c>
      <c r="J122" s="162">
        <f t="shared" si="10"/>
        <v>0</v>
      </c>
      <c r="K122" s="162"/>
      <c r="L122" s="335"/>
      <c r="M122" s="162">
        <f t="shared" si="11"/>
        <v>0</v>
      </c>
      <c r="N122" s="335"/>
      <c r="O122" s="162">
        <f t="shared" si="12"/>
        <v>0</v>
      </c>
      <c r="P122" s="162">
        <f t="shared" si="13"/>
        <v>0</v>
      </c>
    </row>
    <row r="123" spans="2:16">
      <c r="B123" s="9" t="str">
        <f t="shared" si="15"/>
        <v/>
      </c>
      <c r="C123" s="157" t="str">
        <f>IF(D93="","-",+C122+1)</f>
        <v>-</v>
      </c>
      <c r="D123" s="158">
        <f>IF(F122+SUM(E$99:E122)=D$92,F122,D$92-SUM(E$99:E122))</f>
        <v>0</v>
      </c>
      <c r="E123" s="164">
        <f t="shared" si="16"/>
        <v>0</v>
      </c>
      <c r="F123" s="163">
        <f t="shared" si="17"/>
        <v>0</v>
      </c>
      <c r="G123" s="163">
        <f t="shared" si="18"/>
        <v>0</v>
      </c>
      <c r="H123" s="333">
        <f t="shared" si="9"/>
        <v>0</v>
      </c>
      <c r="I123" s="344">
        <f t="shared" si="14"/>
        <v>0</v>
      </c>
      <c r="J123" s="162">
        <f t="shared" si="10"/>
        <v>0</v>
      </c>
      <c r="K123" s="162"/>
      <c r="L123" s="335"/>
      <c r="M123" s="162">
        <f t="shared" si="11"/>
        <v>0</v>
      </c>
      <c r="N123" s="335"/>
      <c r="O123" s="162">
        <f t="shared" si="12"/>
        <v>0</v>
      </c>
      <c r="P123" s="162">
        <f t="shared" si="13"/>
        <v>0</v>
      </c>
    </row>
    <row r="124" spans="2:16">
      <c r="B124" s="9" t="str">
        <f t="shared" si="15"/>
        <v/>
      </c>
      <c r="C124" s="157" t="str">
        <f>IF(D93="","-",+C123+1)</f>
        <v>-</v>
      </c>
      <c r="D124" s="158">
        <f>IF(F123+SUM(E$99:E123)=D$92,F123,D$92-SUM(E$99:E123))</f>
        <v>0</v>
      </c>
      <c r="E124" s="164">
        <f t="shared" si="16"/>
        <v>0</v>
      </c>
      <c r="F124" s="163">
        <f t="shared" si="17"/>
        <v>0</v>
      </c>
      <c r="G124" s="163">
        <f t="shared" si="18"/>
        <v>0</v>
      </c>
      <c r="H124" s="333">
        <f t="shared" si="9"/>
        <v>0</v>
      </c>
      <c r="I124" s="344">
        <f t="shared" si="14"/>
        <v>0</v>
      </c>
      <c r="J124" s="162">
        <f t="shared" si="10"/>
        <v>0</v>
      </c>
      <c r="K124" s="162"/>
      <c r="L124" s="335"/>
      <c r="M124" s="162">
        <f t="shared" si="11"/>
        <v>0</v>
      </c>
      <c r="N124" s="335"/>
      <c r="O124" s="162">
        <f t="shared" si="12"/>
        <v>0</v>
      </c>
      <c r="P124" s="162">
        <f t="shared" si="13"/>
        <v>0</v>
      </c>
    </row>
    <row r="125" spans="2:16">
      <c r="B125" s="9" t="str">
        <f t="shared" si="15"/>
        <v/>
      </c>
      <c r="C125" s="157" t="str">
        <f>IF(D93="","-",+C124+1)</f>
        <v>-</v>
      </c>
      <c r="D125" s="158">
        <f>IF(F124+SUM(E$99:E124)=D$92,F124,D$92-SUM(E$99:E124))</f>
        <v>0</v>
      </c>
      <c r="E125" s="164">
        <f t="shared" si="16"/>
        <v>0</v>
      </c>
      <c r="F125" s="163">
        <f t="shared" si="17"/>
        <v>0</v>
      </c>
      <c r="G125" s="163">
        <f t="shared" si="18"/>
        <v>0</v>
      </c>
      <c r="H125" s="333">
        <f t="shared" si="9"/>
        <v>0</v>
      </c>
      <c r="I125" s="344">
        <f t="shared" si="14"/>
        <v>0</v>
      </c>
      <c r="J125" s="162">
        <f t="shared" si="10"/>
        <v>0</v>
      </c>
      <c r="K125" s="162"/>
      <c r="L125" s="335"/>
      <c r="M125" s="162">
        <f t="shared" si="11"/>
        <v>0</v>
      </c>
      <c r="N125" s="335"/>
      <c r="O125" s="162">
        <f t="shared" si="12"/>
        <v>0</v>
      </c>
      <c r="P125" s="162">
        <f t="shared" si="13"/>
        <v>0</v>
      </c>
    </row>
    <row r="126" spans="2:16">
      <c r="B126" s="9" t="str">
        <f t="shared" si="15"/>
        <v/>
      </c>
      <c r="C126" s="157" t="str">
        <f>IF(D93="","-",+C125+1)</f>
        <v>-</v>
      </c>
      <c r="D126" s="158">
        <f>IF(F125+SUM(E$99:E125)=D$92,F125,D$92-SUM(E$99:E125))</f>
        <v>0</v>
      </c>
      <c r="E126" s="164">
        <f t="shared" si="16"/>
        <v>0</v>
      </c>
      <c r="F126" s="163">
        <f t="shared" si="17"/>
        <v>0</v>
      </c>
      <c r="G126" s="163">
        <f t="shared" si="18"/>
        <v>0</v>
      </c>
      <c r="H126" s="333">
        <f t="shared" si="9"/>
        <v>0</v>
      </c>
      <c r="I126" s="344">
        <f t="shared" si="14"/>
        <v>0</v>
      </c>
      <c r="J126" s="162">
        <f t="shared" si="10"/>
        <v>0</v>
      </c>
      <c r="K126" s="162"/>
      <c r="L126" s="335"/>
      <c r="M126" s="162">
        <f t="shared" si="11"/>
        <v>0</v>
      </c>
      <c r="N126" s="335"/>
      <c r="O126" s="162">
        <f t="shared" si="12"/>
        <v>0</v>
      </c>
      <c r="P126" s="162">
        <f t="shared" si="13"/>
        <v>0</v>
      </c>
    </row>
    <row r="127" spans="2:16">
      <c r="B127" s="9" t="str">
        <f t="shared" si="15"/>
        <v/>
      </c>
      <c r="C127" s="157" t="str">
        <f>IF(D93="","-",+C126+1)</f>
        <v>-</v>
      </c>
      <c r="D127" s="158">
        <f>IF(F126+SUM(E$99:E126)=D$92,F126,D$92-SUM(E$99:E126))</f>
        <v>0</v>
      </c>
      <c r="E127" s="164">
        <f t="shared" si="16"/>
        <v>0</v>
      </c>
      <c r="F127" s="163">
        <f t="shared" si="17"/>
        <v>0</v>
      </c>
      <c r="G127" s="163">
        <f t="shared" si="18"/>
        <v>0</v>
      </c>
      <c r="H127" s="333">
        <f t="shared" si="9"/>
        <v>0</v>
      </c>
      <c r="I127" s="344">
        <f t="shared" si="14"/>
        <v>0</v>
      </c>
      <c r="J127" s="162">
        <f t="shared" si="10"/>
        <v>0</v>
      </c>
      <c r="K127" s="162"/>
      <c r="L127" s="335"/>
      <c r="M127" s="162">
        <f t="shared" si="11"/>
        <v>0</v>
      </c>
      <c r="N127" s="335"/>
      <c r="O127" s="162">
        <f t="shared" si="12"/>
        <v>0</v>
      </c>
      <c r="P127" s="162">
        <f t="shared" si="13"/>
        <v>0</v>
      </c>
    </row>
    <row r="128" spans="2:16">
      <c r="B128" s="9" t="str">
        <f t="shared" si="15"/>
        <v/>
      </c>
      <c r="C128" s="157" t="str">
        <f>IF(D93="","-",+C127+1)</f>
        <v>-</v>
      </c>
      <c r="D128" s="158">
        <f>IF(F127+SUM(E$99:E127)=D$92,F127,D$92-SUM(E$99:E127))</f>
        <v>0</v>
      </c>
      <c r="E128" s="164">
        <f t="shared" si="16"/>
        <v>0</v>
      </c>
      <c r="F128" s="163">
        <f t="shared" si="17"/>
        <v>0</v>
      </c>
      <c r="G128" s="163">
        <f t="shared" si="18"/>
        <v>0</v>
      </c>
      <c r="H128" s="333">
        <f t="shared" si="9"/>
        <v>0</v>
      </c>
      <c r="I128" s="344">
        <f t="shared" si="14"/>
        <v>0</v>
      </c>
      <c r="J128" s="162">
        <f t="shared" si="10"/>
        <v>0</v>
      </c>
      <c r="K128" s="162"/>
      <c r="L128" s="335"/>
      <c r="M128" s="162">
        <f t="shared" si="11"/>
        <v>0</v>
      </c>
      <c r="N128" s="335"/>
      <c r="O128" s="162">
        <f t="shared" si="12"/>
        <v>0</v>
      </c>
      <c r="P128" s="162">
        <f t="shared" si="13"/>
        <v>0</v>
      </c>
    </row>
    <row r="129" spans="2:16">
      <c r="B129" s="9" t="str">
        <f t="shared" si="15"/>
        <v/>
      </c>
      <c r="C129" s="157" t="str">
        <f>IF(D93="","-",+C128+1)</f>
        <v>-</v>
      </c>
      <c r="D129" s="158">
        <f>IF(F128+SUM(E$99:E128)=D$92,F128,D$92-SUM(E$99:E128))</f>
        <v>0</v>
      </c>
      <c r="E129" s="164">
        <f t="shared" si="16"/>
        <v>0</v>
      </c>
      <c r="F129" s="163">
        <f t="shared" si="17"/>
        <v>0</v>
      </c>
      <c r="G129" s="163">
        <f t="shared" si="18"/>
        <v>0</v>
      </c>
      <c r="H129" s="333">
        <f t="shared" si="9"/>
        <v>0</v>
      </c>
      <c r="I129" s="344">
        <f t="shared" si="14"/>
        <v>0</v>
      </c>
      <c r="J129" s="162">
        <f t="shared" si="10"/>
        <v>0</v>
      </c>
      <c r="K129" s="162"/>
      <c r="L129" s="335"/>
      <c r="M129" s="162">
        <f t="shared" si="11"/>
        <v>0</v>
      </c>
      <c r="N129" s="335"/>
      <c r="O129" s="162">
        <f t="shared" si="12"/>
        <v>0</v>
      </c>
      <c r="P129" s="162">
        <f t="shared" si="13"/>
        <v>0</v>
      </c>
    </row>
    <row r="130" spans="2:16">
      <c r="B130" s="9" t="str">
        <f t="shared" si="15"/>
        <v/>
      </c>
      <c r="C130" s="157" t="str">
        <f>IF(D93="","-",+C129+1)</f>
        <v>-</v>
      </c>
      <c r="D130" s="158">
        <f>IF(F129+SUM(E$99:E129)=D$92,F129,D$92-SUM(E$99:E129))</f>
        <v>0</v>
      </c>
      <c r="E130" s="164">
        <f t="shared" si="16"/>
        <v>0</v>
      </c>
      <c r="F130" s="163">
        <f t="shared" si="17"/>
        <v>0</v>
      </c>
      <c r="G130" s="163">
        <f t="shared" si="18"/>
        <v>0</v>
      </c>
      <c r="H130" s="333">
        <f t="shared" si="9"/>
        <v>0</v>
      </c>
      <c r="I130" s="344">
        <f t="shared" si="14"/>
        <v>0</v>
      </c>
      <c r="J130" s="162">
        <f t="shared" si="10"/>
        <v>0</v>
      </c>
      <c r="K130" s="162"/>
      <c r="L130" s="335"/>
      <c r="M130" s="162">
        <f t="shared" si="11"/>
        <v>0</v>
      </c>
      <c r="N130" s="335"/>
      <c r="O130" s="162">
        <f t="shared" si="12"/>
        <v>0</v>
      </c>
      <c r="P130" s="162">
        <f t="shared" si="13"/>
        <v>0</v>
      </c>
    </row>
    <row r="131" spans="2:16">
      <c r="B131" s="9" t="str">
        <f t="shared" si="15"/>
        <v/>
      </c>
      <c r="C131" s="157" t="str">
        <f>IF(D93="","-",+C130+1)</f>
        <v>-</v>
      </c>
      <c r="D131" s="158">
        <f>IF(F130+SUM(E$99:E130)=D$92,F130,D$92-SUM(E$99:E130))</f>
        <v>0</v>
      </c>
      <c r="E131" s="164">
        <f t="shared" si="16"/>
        <v>0</v>
      </c>
      <c r="F131" s="163">
        <f t="shared" si="17"/>
        <v>0</v>
      </c>
      <c r="G131" s="163">
        <f t="shared" si="18"/>
        <v>0</v>
      </c>
      <c r="H131" s="333">
        <f t="shared" si="9"/>
        <v>0</v>
      </c>
      <c r="I131" s="344">
        <f t="shared" si="14"/>
        <v>0</v>
      </c>
      <c r="J131" s="162">
        <f t="shared" ref="J131:J154" si="19">+I541-H541</f>
        <v>0</v>
      </c>
      <c r="K131" s="162"/>
      <c r="L131" s="335"/>
      <c r="M131" s="162">
        <f t="shared" ref="M131:M154" si="20">IF(L541&lt;&gt;0,+H541-L541,0)</f>
        <v>0</v>
      </c>
      <c r="N131" s="335"/>
      <c r="O131" s="162">
        <f t="shared" ref="O131:O154" si="21">IF(N541&lt;&gt;0,+I541-N541,0)</f>
        <v>0</v>
      </c>
      <c r="P131" s="162">
        <f t="shared" ref="P131:P154" si="22">+O541-M541</f>
        <v>0</v>
      </c>
    </row>
    <row r="132" spans="2:16">
      <c r="B132" s="9" t="str">
        <f t="shared" si="15"/>
        <v/>
      </c>
      <c r="C132" s="157" t="str">
        <f>IF(D93="","-",+C131+1)</f>
        <v>-</v>
      </c>
      <c r="D132" s="158">
        <f>IF(F131+SUM(E$99:E131)=D$92,F131,D$92-SUM(E$99:E131))</f>
        <v>0</v>
      </c>
      <c r="E132" s="164">
        <f t="shared" si="16"/>
        <v>0</v>
      </c>
      <c r="F132" s="163">
        <f t="shared" si="17"/>
        <v>0</v>
      </c>
      <c r="G132" s="163">
        <f t="shared" si="18"/>
        <v>0</v>
      </c>
      <c r="H132" s="333">
        <f t="shared" si="9"/>
        <v>0</v>
      </c>
      <c r="I132" s="344">
        <f t="shared" si="14"/>
        <v>0</v>
      </c>
      <c r="J132" s="162">
        <f t="shared" si="19"/>
        <v>0</v>
      </c>
      <c r="K132" s="162"/>
      <c r="L132" s="335"/>
      <c r="M132" s="162">
        <f t="shared" si="20"/>
        <v>0</v>
      </c>
      <c r="N132" s="335"/>
      <c r="O132" s="162">
        <f t="shared" si="21"/>
        <v>0</v>
      </c>
      <c r="P132" s="162">
        <f t="shared" si="22"/>
        <v>0</v>
      </c>
    </row>
    <row r="133" spans="2:16">
      <c r="B133" s="9" t="str">
        <f t="shared" si="15"/>
        <v/>
      </c>
      <c r="C133" s="157" t="str">
        <f>IF(D93="","-",+C132+1)</f>
        <v>-</v>
      </c>
      <c r="D133" s="158">
        <f>IF(F132+SUM(E$99:E132)=D$92,F132,D$92-SUM(E$99:E132))</f>
        <v>0</v>
      </c>
      <c r="E133" s="164">
        <f t="shared" si="16"/>
        <v>0</v>
      </c>
      <c r="F133" s="163">
        <f t="shared" si="17"/>
        <v>0</v>
      </c>
      <c r="G133" s="163">
        <f t="shared" si="18"/>
        <v>0</v>
      </c>
      <c r="H133" s="333">
        <f t="shared" si="9"/>
        <v>0</v>
      </c>
      <c r="I133" s="344">
        <f t="shared" si="14"/>
        <v>0</v>
      </c>
      <c r="J133" s="162">
        <f t="shared" si="19"/>
        <v>0</v>
      </c>
      <c r="K133" s="162"/>
      <c r="L133" s="335"/>
      <c r="M133" s="162">
        <f t="shared" si="20"/>
        <v>0</v>
      </c>
      <c r="N133" s="335"/>
      <c r="O133" s="162">
        <f t="shared" si="21"/>
        <v>0</v>
      </c>
      <c r="P133" s="162">
        <f t="shared" si="22"/>
        <v>0</v>
      </c>
    </row>
    <row r="134" spans="2:16">
      <c r="B134" s="9" t="str">
        <f t="shared" si="15"/>
        <v/>
      </c>
      <c r="C134" s="157" t="str">
        <f>IF(D93="","-",+C133+1)</f>
        <v>-</v>
      </c>
      <c r="D134" s="158">
        <f>IF(F133+SUM(E$99:E133)=D$92,F133,D$92-SUM(E$99:E133))</f>
        <v>0</v>
      </c>
      <c r="E134" s="164">
        <f t="shared" si="16"/>
        <v>0</v>
      </c>
      <c r="F134" s="163">
        <f t="shared" si="17"/>
        <v>0</v>
      </c>
      <c r="G134" s="163">
        <f t="shared" si="18"/>
        <v>0</v>
      </c>
      <c r="H134" s="333">
        <f t="shared" si="9"/>
        <v>0</v>
      </c>
      <c r="I134" s="344">
        <f t="shared" si="14"/>
        <v>0</v>
      </c>
      <c r="J134" s="162">
        <f t="shared" si="19"/>
        <v>0</v>
      </c>
      <c r="K134" s="162"/>
      <c r="L134" s="335"/>
      <c r="M134" s="162">
        <f t="shared" si="20"/>
        <v>0</v>
      </c>
      <c r="N134" s="335"/>
      <c r="O134" s="162">
        <f t="shared" si="21"/>
        <v>0</v>
      </c>
      <c r="P134" s="162">
        <f t="shared" si="22"/>
        <v>0</v>
      </c>
    </row>
    <row r="135" spans="2:16">
      <c r="B135" s="9" t="str">
        <f t="shared" si="15"/>
        <v/>
      </c>
      <c r="C135" s="157" t="str">
        <f>IF(D93="","-",+C134+1)</f>
        <v>-</v>
      </c>
      <c r="D135" s="158">
        <f>IF(F134+SUM(E$99:E134)=D$92,F134,D$92-SUM(E$99:E134))</f>
        <v>0</v>
      </c>
      <c r="E135" s="164">
        <f t="shared" si="16"/>
        <v>0</v>
      </c>
      <c r="F135" s="163">
        <f t="shared" si="17"/>
        <v>0</v>
      </c>
      <c r="G135" s="163">
        <f t="shared" si="18"/>
        <v>0</v>
      </c>
      <c r="H135" s="333">
        <f t="shared" si="9"/>
        <v>0</v>
      </c>
      <c r="I135" s="344">
        <f t="shared" si="14"/>
        <v>0</v>
      </c>
      <c r="J135" s="162">
        <f t="shared" si="19"/>
        <v>0</v>
      </c>
      <c r="K135" s="162"/>
      <c r="L135" s="335"/>
      <c r="M135" s="162">
        <f t="shared" si="20"/>
        <v>0</v>
      </c>
      <c r="N135" s="335"/>
      <c r="O135" s="162">
        <f t="shared" si="21"/>
        <v>0</v>
      </c>
      <c r="P135" s="162">
        <f t="shared" si="22"/>
        <v>0</v>
      </c>
    </row>
    <row r="136" spans="2:16">
      <c r="B136" s="9" t="str">
        <f t="shared" si="15"/>
        <v/>
      </c>
      <c r="C136" s="157" t="str">
        <f>IF(D93="","-",+C135+1)</f>
        <v>-</v>
      </c>
      <c r="D136" s="158">
        <f>IF(F135+SUM(E$99:E135)=D$92,F135,D$92-SUM(E$99:E135))</f>
        <v>0</v>
      </c>
      <c r="E136" s="164">
        <f t="shared" si="16"/>
        <v>0</v>
      </c>
      <c r="F136" s="163">
        <f t="shared" si="17"/>
        <v>0</v>
      </c>
      <c r="G136" s="163">
        <f t="shared" si="18"/>
        <v>0</v>
      </c>
      <c r="H136" s="333">
        <f t="shared" si="9"/>
        <v>0</v>
      </c>
      <c r="I136" s="344">
        <f t="shared" si="14"/>
        <v>0</v>
      </c>
      <c r="J136" s="162">
        <f t="shared" si="19"/>
        <v>0</v>
      </c>
      <c r="K136" s="162"/>
      <c r="L136" s="335"/>
      <c r="M136" s="162">
        <f t="shared" si="20"/>
        <v>0</v>
      </c>
      <c r="N136" s="335"/>
      <c r="O136" s="162">
        <f t="shared" si="21"/>
        <v>0</v>
      </c>
      <c r="P136" s="162">
        <f t="shared" si="22"/>
        <v>0</v>
      </c>
    </row>
    <row r="137" spans="2:16">
      <c r="B137" s="9" t="str">
        <f t="shared" si="15"/>
        <v/>
      </c>
      <c r="C137" s="157" t="str">
        <f>IF(D93="","-",+C136+1)</f>
        <v>-</v>
      </c>
      <c r="D137" s="158">
        <f>IF(F136+SUM(E$99:E136)=D$92,F136,D$92-SUM(E$99:E136))</f>
        <v>0</v>
      </c>
      <c r="E137" s="164">
        <f t="shared" si="16"/>
        <v>0</v>
      </c>
      <c r="F137" s="163">
        <f t="shared" si="17"/>
        <v>0</v>
      </c>
      <c r="G137" s="163">
        <f t="shared" si="18"/>
        <v>0</v>
      </c>
      <c r="H137" s="333">
        <f t="shared" si="9"/>
        <v>0</v>
      </c>
      <c r="I137" s="344">
        <f t="shared" si="14"/>
        <v>0</v>
      </c>
      <c r="J137" s="162">
        <f t="shared" si="19"/>
        <v>0</v>
      </c>
      <c r="K137" s="162"/>
      <c r="L137" s="335"/>
      <c r="M137" s="162">
        <f t="shared" si="20"/>
        <v>0</v>
      </c>
      <c r="N137" s="335"/>
      <c r="O137" s="162">
        <f t="shared" si="21"/>
        <v>0</v>
      </c>
      <c r="P137" s="162">
        <f t="shared" si="22"/>
        <v>0</v>
      </c>
    </row>
    <row r="138" spans="2:16">
      <c r="B138" s="9" t="str">
        <f t="shared" si="15"/>
        <v/>
      </c>
      <c r="C138" s="157" t="str">
        <f>IF(D93="","-",+C137+1)</f>
        <v>-</v>
      </c>
      <c r="D138" s="158">
        <f>IF(F137+SUM(E$99:E137)=D$92,F137,D$92-SUM(E$99:E137))</f>
        <v>0</v>
      </c>
      <c r="E138" s="164">
        <f t="shared" si="16"/>
        <v>0</v>
      </c>
      <c r="F138" s="163">
        <f t="shared" si="17"/>
        <v>0</v>
      </c>
      <c r="G138" s="163">
        <f t="shared" si="18"/>
        <v>0</v>
      </c>
      <c r="H138" s="333">
        <f t="shared" si="9"/>
        <v>0</v>
      </c>
      <c r="I138" s="344">
        <f t="shared" si="14"/>
        <v>0</v>
      </c>
      <c r="J138" s="162">
        <f t="shared" si="19"/>
        <v>0</v>
      </c>
      <c r="K138" s="162"/>
      <c r="L138" s="335"/>
      <c r="M138" s="162">
        <f t="shared" si="20"/>
        <v>0</v>
      </c>
      <c r="N138" s="335"/>
      <c r="O138" s="162">
        <f t="shared" si="21"/>
        <v>0</v>
      </c>
      <c r="P138" s="162">
        <f t="shared" si="22"/>
        <v>0</v>
      </c>
    </row>
    <row r="139" spans="2:16">
      <c r="B139" s="9" t="str">
        <f t="shared" si="15"/>
        <v/>
      </c>
      <c r="C139" s="157" t="str">
        <f>IF(D93="","-",+C138+1)</f>
        <v>-</v>
      </c>
      <c r="D139" s="158">
        <f>IF(F138+SUM(E$99:E138)=D$92,F138,D$92-SUM(E$99:E138))</f>
        <v>0</v>
      </c>
      <c r="E139" s="164">
        <f t="shared" si="16"/>
        <v>0</v>
      </c>
      <c r="F139" s="163">
        <f t="shared" si="17"/>
        <v>0</v>
      </c>
      <c r="G139" s="163">
        <f t="shared" si="18"/>
        <v>0</v>
      </c>
      <c r="H139" s="333">
        <f t="shared" si="9"/>
        <v>0</v>
      </c>
      <c r="I139" s="344">
        <f t="shared" si="14"/>
        <v>0</v>
      </c>
      <c r="J139" s="162">
        <f t="shared" si="19"/>
        <v>0</v>
      </c>
      <c r="K139" s="162"/>
      <c r="L139" s="335"/>
      <c r="M139" s="162">
        <f t="shared" si="20"/>
        <v>0</v>
      </c>
      <c r="N139" s="335"/>
      <c r="O139" s="162">
        <f t="shared" si="21"/>
        <v>0</v>
      </c>
      <c r="P139" s="162">
        <f t="shared" si="22"/>
        <v>0</v>
      </c>
    </row>
    <row r="140" spans="2:16">
      <c r="B140" s="9" t="str">
        <f t="shared" si="15"/>
        <v/>
      </c>
      <c r="C140" s="157" t="str">
        <f>IF(D93="","-",+C139+1)</f>
        <v>-</v>
      </c>
      <c r="D140" s="158">
        <f>IF(F139+SUM(E$99:E139)=D$92,F139,D$92-SUM(E$99:E139))</f>
        <v>0</v>
      </c>
      <c r="E140" s="164">
        <f t="shared" si="16"/>
        <v>0</v>
      </c>
      <c r="F140" s="163">
        <f t="shared" si="17"/>
        <v>0</v>
      </c>
      <c r="G140" s="163">
        <f t="shared" si="18"/>
        <v>0</v>
      </c>
      <c r="H140" s="333">
        <f t="shared" si="9"/>
        <v>0</v>
      </c>
      <c r="I140" s="344">
        <f t="shared" si="14"/>
        <v>0</v>
      </c>
      <c r="J140" s="162">
        <f t="shared" si="19"/>
        <v>0</v>
      </c>
      <c r="K140" s="162"/>
      <c r="L140" s="335"/>
      <c r="M140" s="162">
        <f t="shared" si="20"/>
        <v>0</v>
      </c>
      <c r="N140" s="335"/>
      <c r="O140" s="162">
        <f t="shared" si="21"/>
        <v>0</v>
      </c>
      <c r="P140" s="162">
        <f t="shared" si="22"/>
        <v>0</v>
      </c>
    </row>
    <row r="141" spans="2:16">
      <c r="B141" s="9" t="str">
        <f t="shared" si="15"/>
        <v/>
      </c>
      <c r="C141" s="157" t="str">
        <f>IF(D93="","-",+C140+1)</f>
        <v>-</v>
      </c>
      <c r="D141" s="158">
        <f>IF(F140+SUM(E$99:E140)=D$92,F140,D$92-SUM(E$99:E140))</f>
        <v>0</v>
      </c>
      <c r="E141" s="164">
        <f t="shared" si="16"/>
        <v>0</v>
      </c>
      <c r="F141" s="163">
        <f t="shared" si="17"/>
        <v>0</v>
      </c>
      <c r="G141" s="163">
        <f t="shared" si="18"/>
        <v>0</v>
      </c>
      <c r="H141" s="333">
        <f t="shared" si="9"/>
        <v>0</v>
      </c>
      <c r="I141" s="344">
        <f t="shared" si="14"/>
        <v>0</v>
      </c>
      <c r="J141" s="162">
        <f t="shared" si="19"/>
        <v>0</v>
      </c>
      <c r="K141" s="162"/>
      <c r="L141" s="335"/>
      <c r="M141" s="162">
        <f t="shared" si="20"/>
        <v>0</v>
      </c>
      <c r="N141" s="335"/>
      <c r="O141" s="162">
        <f t="shared" si="21"/>
        <v>0</v>
      </c>
      <c r="P141" s="162">
        <f t="shared" si="22"/>
        <v>0</v>
      </c>
    </row>
    <row r="142" spans="2:16">
      <c r="B142" s="9" t="str">
        <f t="shared" si="15"/>
        <v/>
      </c>
      <c r="C142" s="157" t="str">
        <f>IF(D93="","-",+C141+1)</f>
        <v>-</v>
      </c>
      <c r="D142" s="158">
        <f>IF(F141+SUM(E$99:E141)=D$92,F141,D$92-SUM(E$99:E141))</f>
        <v>0</v>
      </c>
      <c r="E142" s="164">
        <f t="shared" si="16"/>
        <v>0</v>
      </c>
      <c r="F142" s="163">
        <f t="shared" si="17"/>
        <v>0</v>
      </c>
      <c r="G142" s="163">
        <f t="shared" si="18"/>
        <v>0</v>
      </c>
      <c r="H142" s="333">
        <f t="shared" si="9"/>
        <v>0</v>
      </c>
      <c r="I142" s="344">
        <f t="shared" si="14"/>
        <v>0</v>
      </c>
      <c r="J142" s="162">
        <f t="shared" si="19"/>
        <v>0</v>
      </c>
      <c r="K142" s="162"/>
      <c r="L142" s="335"/>
      <c r="M142" s="162">
        <f t="shared" si="20"/>
        <v>0</v>
      </c>
      <c r="N142" s="335"/>
      <c r="O142" s="162">
        <f t="shared" si="21"/>
        <v>0</v>
      </c>
      <c r="P142" s="162">
        <f t="shared" si="22"/>
        <v>0</v>
      </c>
    </row>
    <row r="143" spans="2:16">
      <c r="B143" s="9" t="str">
        <f t="shared" si="15"/>
        <v/>
      </c>
      <c r="C143" s="157" t="str">
        <f>IF(D93="","-",+C142+1)</f>
        <v>-</v>
      </c>
      <c r="D143" s="158">
        <f>IF(F142+SUM(E$99:E142)=D$92,F142,D$92-SUM(E$99:E142))</f>
        <v>0</v>
      </c>
      <c r="E143" s="164">
        <f t="shared" si="16"/>
        <v>0</v>
      </c>
      <c r="F143" s="163">
        <f t="shared" si="17"/>
        <v>0</v>
      </c>
      <c r="G143" s="163">
        <f t="shared" si="18"/>
        <v>0</v>
      </c>
      <c r="H143" s="333">
        <f t="shared" si="9"/>
        <v>0</v>
      </c>
      <c r="I143" s="344">
        <f t="shared" si="14"/>
        <v>0</v>
      </c>
      <c r="J143" s="162">
        <f t="shared" si="19"/>
        <v>0</v>
      </c>
      <c r="K143" s="162"/>
      <c r="L143" s="335"/>
      <c r="M143" s="162">
        <f t="shared" si="20"/>
        <v>0</v>
      </c>
      <c r="N143" s="335"/>
      <c r="O143" s="162">
        <f t="shared" si="21"/>
        <v>0</v>
      </c>
      <c r="P143" s="162">
        <f t="shared" si="22"/>
        <v>0</v>
      </c>
    </row>
    <row r="144" spans="2:16">
      <c r="B144" s="9" t="str">
        <f t="shared" si="15"/>
        <v/>
      </c>
      <c r="C144" s="157" t="str">
        <f>IF(D93="","-",+C143+1)</f>
        <v>-</v>
      </c>
      <c r="D144" s="158">
        <f>IF(F143+SUM(E$99:E143)=D$92,F143,D$92-SUM(E$99:E143))</f>
        <v>0</v>
      </c>
      <c r="E144" s="164">
        <f t="shared" si="16"/>
        <v>0</v>
      </c>
      <c r="F144" s="163">
        <f t="shared" si="17"/>
        <v>0</v>
      </c>
      <c r="G144" s="163">
        <f t="shared" si="18"/>
        <v>0</v>
      </c>
      <c r="H144" s="333">
        <f t="shared" si="9"/>
        <v>0</v>
      </c>
      <c r="I144" s="344">
        <f t="shared" si="14"/>
        <v>0</v>
      </c>
      <c r="J144" s="162">
        <f t="shared" si="19"/>
        <v>0</v>
      </c>
      <c r="K144" s="162"/>
      <c r="L144" s="335"/>
      <c r="M144" s="162">
        <f t="shared" si="20"/>
        <v>0</v>
      </c>
      <c r="N144" s="335"/>
      <c r="O144" s="162">
        <f t="shared" si="21"/>
        <v>0</v>
      </c>
      <c r="P144" s="162">
        <f t="shared" si="22"/>
        <v>0</v>
      </c>
    </row>
    <row r="145" spans="2:16">
      <c r="B145" s="9" t="str">
        <f t="shared" si="15"/>
        <v/>
      </c>
      <c r="C145" s="157" t="str">
        <f>IF(D93="","-",+C144+1)</f>
        <v>-</v>
      </c>
      <c r="D145" s="158">
        <f>IF(F144+SUM(E$99:E144)=D$92,F144,D$92-SUM(E$99:E144))</f>
        <v>0</v>
      </c>
      <c r="E145" s="164">
        <f t="shared" si="16"/>
        <v>0</v>
      </c>
      <c r="F145" s="163">
        <f t="shared" si="17"/>
        <v>0</v>
      </c>
      <c r="G145" s="163">
        <f t="shared" si="18"/>
        <v>0</v>
      </c>
      <c r="H145" s="333">
        <f t="shared" si="9"/>
        <v>0</v>
      </c>
      <c r="I145" s="344">
        <f t="shared" si="14"/>
        <v>0</v>
      </c>
      <c r="J145" s="162">
        <f t="shared" si="19"/>
        <v>0</v>
      </c>
      <c r="K145" s="162"/>
      <c r="L145" s="335"/>
      <c r="M145" s="162">
        <f t="shared" si="20"/>
        <v>0</v>
      </c>
      <c r="N145" s="335"/>
      <c r="O145" s="162">
        <f t="shared" si="21"/>
        <v>0</v>
      </c>
      <c r="P145" s="162">
        <f t="shared" si="22"/>
        <v>0</v>
      </c>
    </row>
    <row r="146" spans="2:16">
      <c r="B146" s="9" t="str">
        <f t="shared" si="15"/>
        <v/>
      </c>
      <c r="C146" s="157" t="str">
        <f>IF(D93="","-",+C145+1)</f>
        <v>-</v>
      </c>
      <c r="D146" s="158">
        <f>IF(F145+SUM(E$99:E145)=D$92,F145,D$92-SUM(E$99:E145))</f>
        <v>0</v>
      </c>
      <c r="E146" s="164">
        <f t="shared" si="16"/>
        <v>0</v>
      </c>
      <c r="F146" s="163">
        <f t="shared" si="17"/>
        <v>0</v>
      </c>
      <c r="G146" s="163">
        <f t="shared" si="18"/>
        <v>0</v>
      </c>
      <c r="H146" s="333">
        <f t="shared" si="9"/>
        <v>0</v>
      </c>
      <c r="I146" s="344">
        <f t="shared" si="14"/>
        <v>0</v>
      </c>
      <c r="J146" s="162">
        <f t="shared" si="19"/>
        <v>0</v>
      </c>
      <c r="K146" s="162"/>
      <c r="L146" s="335"/>
      <c r="M146" s="162">
        <f t="shared" si="20"/>
        <v>0</v>
      </c>
      <c r="N146" s="335"/>
      <c r="O146" s="162">
        <f t="shared" si="21"/>
        <v>0</v>
      </c>
      <c r="P146" s="162">
        <f t="shared" si="22"/>
        <v>0</v>
      </c>
    </row>
    <row r="147" spans="2:16">
      <c r="B147" s="9" t="str">
        <f t="shared" si="15"/>
        <v/>
      </c>
      <c r="C147" s="157" t="str">
        <f>IF(D93="","-",+C146+1)</f>
        <v>-</v>
      </c>
      <c r="D147" s="158">
        <f>IF(F146+SUM(E$99:E146)=D$92,F146,D$92-SUM(E$99:E146))</f>
        <v>0</v>
      </c>
      <c r="E147" s="164">
        <f t="shared" si="16"/>
        <v>0</v>
      </c>
      <c r="F147" s="163">
        <f t="shared" si="17"/>
        <v>0</v>
      </c>
      <c r="G147" s="163">
        <f t="shared" si="18"/>
        <v>0</v>
      </c>
      <c r="H147" s="333">
        <f t="shared" si="9"/>
        <v>0</v>
      </c>
      <c r="I147" s="344">
        <f t="shared" si="14"/>
        <v>0</v>
      </c>
      <c r="J147" s="162">
        <f t="shared" si="19"/>
        <v>0</v>
      </c>
      <c r="K147" s="162"/>
      <c r="L147" s="335"/>
      <c r="M147" s="162">
        <f t="shared" si="20"/>
        <v>0</v>
      </c>
      <c r="N147" s="335"/>
      <c r="O147" s="162">
        <f t="shared" si="21"/>
        <v>0</v>
      </c>
      <c r="P147" s="162">
        <f t="shared" si="22"/>
        <v>0</v>
      </c>
    </row>
    <row r="148" spans="2:16">
      <c r="B148" s="9" t="str">
        <f t="shared" si="15"/>
        <v/>
      </c>
      <c r="C148" s="157" t="str">
        <f>IF(D93="","-",+C147+1)</f>
        <v>-</v>
      </c>
      <c r="D148" s="158">
        <f>IF(F147+SUM(E$99:E147)=D$92,F147,D$92-SUM(E$99:E147))</f>
        <v>0</v>
      </c>
      <c r="E148" s="164">
        <f t="shared" si="16"/>
        <v>0</v>
      </c>
      <c r="F148" s="163">
        <f t="shared" si="17"/>
        <v>0</v>
      </c>
      <c r="G148" s="163">
        <f t="shared" si="18"/>
        <v>0</v>
      </c>
      <c r="H148" s="333">
        <f t="shared" si="9"/>
        <v>0</v>
      </c>
      <c r="I148" s="344">
        <f t="shared" si="14"/>
        <v>0</v>
      </c>
      <c r="J148" s="162">
        <f t="shared" si="19"/>
        <v>0</v>
      </c>
      <c r="K148" s="162"/>
      <c r="L148" s="335"/>
      <c r="M148" s="162">
        <f t="shared" si="20"/>
        <v>0</v>
      </c>
      <c r="N148" s="335"/>
      <c r="O148" s="162">
        <f t="shared" si="21"/>
        <v>0</v>
      </c>
      <c r="P148" s="162">
        <f t="shared" si="22"/>
        <v>0</v>
      </c>
    </row>
    <row r="149" spans="2:16">
      <c r="B149" s="9" t="str">
        <f t="shared" si="15"/>
        <v/>
      </c>
      <c r="C149" s="157" t="str">
        <f>IF(D93="","-",+C148+1)</f>
        <v>-</v>
      </c>
      <c r="D149" s="158">
        <f>IF(F148+SUM(E$99:E148)=D$92,F148,D$92-SUM(E$99:E148))</f>
        <v>0</v>
      </c>
      <c r="E149" s="164">
        <f t="shared" si="16"/>
        <v>0</v>
      </c>
      <c r="F149" s="163">
        <f t="shared" si="17"/>
        <v>0</v>
      </c>
      <c r="G149" s="163">
        <f t="shared" si="18"/>
        <v>0</v>
      </c>
      <c r="H149" s="333">
        <f t="shared" si="9"/>
        <v>0</v>
      </c>
      <c r="I149" s="344">
        <f t="shared" si="14"/>
        <v>0</v>
      </c>
      <c r="J149" s="162">
        <f t="shared" si="19"/>
        <v>0</v>
      </c>
      <c r="K149" s="162"/>
      <c r="L149" s="335"/>
      <c r="M149" s="162">
        <f t="shared" si="20"/>
        <v>0</v>
      </c>
      <c r="N149" s="335"/>
      <c r="O149" s="162">
        <f t="shared" si="21"/>
        <v>0</v>
      </c>
      <c r="P149" s="162">
        <f t="shared" si="22"/>
        <v>0</v>
      </c>
    </row>
    <row r="150" spans="2:16">
      <c r="B150" s="9" t="str">
        <f t="shared" si="15"/>
        <v/>
      </c>
      <c r="C150" s="157" t="str">
        <f>IF(D93="","-",+C149+1)</f>
        <v>-</v>
      </c>
      <c r="D150" s="158">
        <f>IF(F149+SUM(E$99:E149)=D$92,F149,D$92-SUM(E$99:E149))</f>
        <v>0</v>
      </c>
      <c r="E150" s="164">
        <f t="shared" si="16"/>
        <v>0</v>
      </c>
      <c r="F150" s="163">
        <f t="shared" si="17"/>
        <v>0</v>
      </c>
      <c r="G150" s="163">
        <f t="shared" si="18"/>
        <v>0</v>
      </c>
      <c r="H150" s="333">
        <f t="shared" si="9"/>
        <v>0</v>
      </c>
      <c r="I150" s="344">
        <f t="shared" si="14"/>
        <v>0</v>
      </c>
      <c r="J150" s="162">
        <f t="shared" si="19"/>
        <v>0</v>
      </c>
      <c r="K150" s="162"/>
      <c r="L150" s="335"/>
      <c r="M150" s="162">
        <f t="shared" si="20"/>
        <v>0</v>
      </c>
      <c r="N150" s="335"/>
      <c r="O150" s="162">
        <f t="shared" si="21"/>
        <v>0</v>
      </c>
      <c r="P150" s="162">
        <f t="shared" si="22"/>
        <v>0</v>
      </c>
    </row>
    <row r="151" spans="2:16">
      <c r="B151" s="9" t="str">
        <f t="shared" si="15"/>
        <v/>
      </c>
      <c r="C151" s="157" t="str">
        <f>IF(D93="","-",+C150+1)</f>
        <v>-</v>
      </c>
      <c r="D151" s="158">
        <f>IF(F150+SUM(E$99:E150)=D$92,F150,D$92-SUM(E$99:E150))</f>
        <v>0</v>
      </c>
      <c r="E151" s="164">
        <f t="shared" si="16"/>
        <v>0</v>
      </c>
      <c r="F151" s="163">
        <f t="shared" si="17"/>
        <v>0</v>
      </c>
      <c r="G151" s="163">
        <f t="shared" si="18"/>
        <v>0</v>
      </c>
      <c r="H151" s="333">
        <f t="shared" si="9"/>
        <v>0</v>
      </c>
      <c r="I151" s="344">
        <f t="shared" si="14"/>
        <v>0</v>
      </c>
      <c r="J151" s="162">
        <f t="shared" si="19"/>
        <v>0</v>
      </c>
      <c r="K151" s="162"/>
      <c r="L151" s="335"/>
      <c r="M151" s="162">
        <f t="shared" si="20"/>
        <v>0</v>
      </c>
      <c r="N151" s="335"/>
      <c r="O151" s="162">
        <f t="shared" si="21"/>
        <v>0</v>
      </c>
      <c r="P151" s="162">
        <f t="shared" si="22"/>
        <v>0</v>
      </c>
    </row>
    <row r="152" spans="2:16">
      <c r="B152" s="9" t="str">
        <f t="shared" si="15"/>
        <v/>
      </c>
      <c r="C152" s="157" t="str">
        <f>IF(D93="","-",+C151+1)</f>
        <v>-</v>
      </c>
      <c r="D152" s="158">
        <f>IF(F151+SUM(E$99:E151)=D$92,F151,D$92-SUM(E$99:E151))</f>
        <v>0</v>
      </c>
      <c r="E152" s="164">
        <f t="shared" si="16"/>
        <v>0</v>
      </c>
      <c r="F152" s="163">
        <f t="shared" si="17"/>
        <v>0</v>
      </c>
      <c r="G152" s="163">
        <f t="shared" si="18"/>
        <v>0</v>
      </c>
      <c r="H152" s="333">
        <f t="shared" si="9"/>
        <v>0</v>
      </c>
      <c r="I152" s="344">
        <f t="shared" si="14"/>
        <v>0</v>
      </c>
      <c r="J152" s="162">
        <f t="shared" si="19"/>
        <v>0</v>
      </c>
      <c r="K152" s="162"/>
      <c r="L152" s="335"/>
      <c r="M152" s="162">
        <f t="shared" si="20"/>
        <v>0</v>
      </c>
      <c r="N152" s="335"/>
      <c r="O152" s="162">
        <f t="shared" si="21"/>
        <v>0</v>
      </c>
      <c r="P152" s="162">
        <f t="shared" si="22"/>
        <v>0</v>
      </c>
    </row>
    <row r="153" spans="2:16">
      <c r="B153" s="9" t="str">
        <f t="shared" si="15"/>
        <v/>
      </c>
      <c r="C153" s="157" t="str">
        <f>IF(D93="","-",+C152+1)</f>
        <v>-</v>
      </c>
      <c r="D153" s="158">
        <f>IF(F152+SUM(E$99:E152)=D$92,F152,D$92-SUM(E$99:E152))</f>
        <v>0</v>
      </c>
      <c r="E153" s="164">
        <f t="shared" si="16"/>
        <v>0</v>
      </c>
      <c r="F153" s="163">
        <f t="shared" si="17"/>
        <v>0</v>
      </c>
      <c r="G153" s="163">
        <f t="shared" si="18"/>
        <v>0</v>
      </c>
      <c r="H153" s="333">
        <f t="shared" si="9"/>
        <v>0</v>
      </c>
      <c r="I153" s="344">
        <f t="shared" si="14"/>
        <v>0</v>
      </c>
      <c r="J153" s="162">
        <f t="shared" si="19"/>
        <v>0</v>
      </c>
      <c r="K153" s="162"/>
      <c r="L153" s="335"/>
      <c r="M153" s="162">
        <f t="shared" si="20"/>
        <v>0</v>
      </c>
      <c r="N153" s="335"/>
      <c r="O153" s="162">
        <f t="shared" si="21"/>
        <v>0</v>
      </c>
      <c r="P153" s="162">
        <f t="shared" si="22"/>
        <v>0</v>
      </c>
    </row>
    <row r="154" spans="2:16" ht="13.5" thickBot="1">
      <c r="B154" s="9" t="str">
        <f t="shared" si="15"/>
        <v/>
      </c>
      <c r="C154" s="168" t="str">
        <f>IF(D93="","-",+C153+1)</f>
        <v>-</v>
      </c>
      <c r="D154" s="170">
        <f>IF(F153+SUM(E$99:E153)=D$92,F153,D$92-SUM(E$99:E153))</f>
        <v>0</v>
      </c>
      <c r="E154" s="170">
        <f t="shared" si="16"/>
        <v>0</v>
      </c>
      <c r="F154" s="169">
        <f t="shared" si="17"/>
        <v>0</v>
      </c>
      <c r="G154" s="169">
        <f t="shared" si="18"/>
        <v>0</v>
      </c>
      <c r="H154" s="345">
        <f t="shared" si="9"/>
        <v>0</v>
      </c>
      <c r="I154" s="346">
        <f t="shared" si="14"/>
        <v>0</v>
      </c>
      <c r="J154" s="173">
        <f t="shared" si="19"/>
        <v>0</v>
      </c>
      <c r="K154" s="162"/>
      <c r="L154" s="336"/>
      <c r="M154" s="173">
        <f t="shared" si="20"/>
        <v>0</v>
      </c>
      <c r="N154" s="336"/>
      <c r="O154" s="173">
        <f t="shared" si="21"/>
        <v>0</v>
      </c>
      <c r="P154" s="173">
        <f t="shared" si="22"/>
        <v>0</v>
      </c>
    </row>
    <row r="155" spans="2:16">
      <c r="C155" s="158" t="s">
        <v>72</v>
      </c>
      <c r="D155" s="115"/>
      <c r="E155" s="115">
        <f>SUM(E99:E154)</f>
        <v>0</v>
      </c>
      <c r="F155" s="115"/>
      <c r="G155" s="115"/>
      <c r="H155" s="115">
        <f>SUM(H99:H154)</f>
        <v>0</v>
      </c>
      <c r="I155" s="115">
        <f>SUM(I99:I154)</f>
        <v>0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143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conditionalFormatting sqref="C17:C72">
    <cfRule type="cellIs" dxfId="3" priority="1" stopIfTrue="1" operator="equal">
      <formula>$I$10</formula>
    </cfRule>
  </conditionalFormatting>
  <conditionalFormatting sqref="C99:C154">
    <cfRule type="cellIs" dxfId="2" priority="2" stopIfTrue="1" operator="equal">
      <formula>$J$92</formula>
    </cfRule>
  </conditionalFormatting>
  <pageMargins left="0.5" right="0.25" top="1" bottom="0.5" header="0.25" footer="0.5"/>
  <pageSetup scale="47" orientation="landscape" r:id="rId1"/>
  <headerFooter>
    <oddHeader xml:space="preserve">&amp;R&amp;14AEP - SPP Formula Rate
PSO TCOS - Worksheets F and G
Section IV -- (BPU Project Tables)
Page: &amp;P of &amp;N
</oddHead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A1:P162"/>
  <sheetViews>
    <sheetView view="pageBreakPreview" topLeftCell="A4" zoomScale="78" zoomScaleNormal="100" zoomScaleSheetLayoutView="78" workbookViewId="0">
      <selection activeCell="D17" sqref="D17:H17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"&amp;RIGHT(MID(CELL("filename",$A$1),FIND("]",CELL("filename",$A$1))+1,256),2)&amp;" of "&amp;COUNT('P.001:P.xyz - blank'!$P$3)-1</f>
        <v>PSO Project nk of 28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275</v>
      </c>
      <c r="L5" s="119"/>
      <c r="M5" s="120"/>
      <c r="N5" s="121">
        <f>VLOOKUP(I10,C17:I72,5)</f>
        <v>0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276</v>
      </c>
      <c r="L6" s="125"/>
      <c r="M6" s="4"/>
      <c r="N6" s="126">
        <f>VLOOKUP(I10,C17:I72,6)</f>
        <v>0</v>
      </c>
      <c r="O6" s="1"/>
      <c r="P6" s="1"/>
    </row>
    <row r="7" spans="1:16" ht="13.5" thickBot="1">
      <c r="C7" s="127" t="s">
        <v>41</v>
      </c>
      <c r="D7" s="227" t="s">
        <v>103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 t="str">
        <f>IF(D10&lt;100000,"DOES NOT MEET SPP $100,000 MINIMUM INVESTMENT FOR REGIONAL BPU SHARING.","")</f>
        <v>DOES NOT MEET SPP $100,000 MINIMUM INVESTMENT FOR REGIONAL BPU SHARING.</v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C9" s="133" t="s">
        <v>43</v>
      </c>
      <c r="D9" s="229"/>
      <c r="E9" s="134"/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/>
      <c r="E10" s="64" t="s">
        <v>46</v>
      </c>
      <c r="F10" s="137"/>
      <c r="G10" s="139"/>
      <c r="H10" s="139"/>
      <c r="I10" s="140">
        <f>+PSO.WS.F.BPU.ATRR.Projected!L19</f>
        <v>2020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2017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4</v>
      </c>
      <c r="E12" s="141" t="s">
        <v>51</v>
      </c>
      <c r="F12" s="139"/>
      <c r="G12" s="7"/>
      <c r="H12" s="7"/>
      <c r="I12" s="145">
        <f>PSO.WS.F.BPU.ATRR.Projected!$F$81</f>
        <v>0.10800477690995318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42</v>
      </c>
      <c r="E13" s="141" t="s">
        <v>54</v>
      </c>
      <c r="F13" s="139"/>
      <c r="G13" s="7"/>
      <c r="H13" s="7"/>
      <c r="I13" s="145">
        <f>IF(G5="",I12,PSO.WS.F.BPU.ATRR.Projected!$F$80)</f>
        <v>0.10800477690995318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0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277</v>
      </c>
      <c r="H15" s="362" t="s">
        <v>278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2017</v>
      </c>
      <c r="D17" s="158">
        <v>0</v>
      </c>
      <c r="E17" s="159">
        <f>IF(D10&gt;=100000,I$14/12*(12-D12),0)</f>
        <v>0</v>
      </c>
      <c r="F17" s="163">
        <f>IF(D11=C17,+D10-E17,+D17-E17)</f>
        <v>0</v>
      </c>
      <c r="G17" s="159">
        <f>(D17+F17)/2*I$12+E17</f>
        <v>0</v>
      </c>
      <c r="H17" s="147">
        <f>+(D17+F17)/2*I$13+E17</f>
        <v>0</v>
      </c>
      <c r="I17" s="160">
        <f>H17-G17</f>
        <v>0</v>
      </c>
      <c r="J17" s="160"/>
      <c r="K17" s="337"/>
      <c r="L17" s="161">
        <f t="shared" ref="L17:L48" si="0">IF(K17&lt;&gt;0,+G17-K17,0)</f>
        <v>0</v>
      </c>
      <c r="M17" s="337"/>
      <c r="N17" s="161">
        <f t="shared" ref="N17:N48" si="1">IF(M17&lt;&gt;0,+H17-M17,0)</f>
        <v>0</v>
      </c>
      <c r="O17" s="162">
        <f t="shared" ref="O17:O48" si="2">+N17-L17</f>
        <v>0</v>
      </c>
      <c r="P17" s="4"/>
    </row>
    <row r="18" spans="2:16">
      <c r="B18" s="9" t="str">
        <f>IF(D18=F17,"","IU")</f>
        <v/>
      </c>
      <c r="C18" s="157">
        <f>IF(D11="","-",+C17+1)</f>
        <v>2018</v>
      </c>
      <c r="D18" s="166">
        <f>IF(F17+SUM(E$17:E17)=D$10,F17,D$10-SUM(E$17:E17))</f>
        <v>0</v>
      </c>
      <c r="E18" s="164">
        <f>IF(+I$14&lt;F17,I$14,D18)</f>
        <v>0</v>
      </c>
      <c r="F18" s="163">
        <f>+D18-E18</f>
        <v>0</v>
      </c>
      <c r="G18" s="165">
        <f>(D18+F18)/2*I$12+E18</f>
        <v>0</v>
      </c>
      <c r="H18" s="147">
        <f>+(D18+F18)/2*I$13+E18</f>
        <v>0</v>
      </c>
      <c r="I18" s="160">
        <f>H18-G18</f>
        <v>0</v>
      </c>
      <c r="J18" s="160"/>
      <c r="K18" s="335"/>
      <c r="L18" s="162">
        <f t="shared" si="0"/>
        <v>0</v>
      </c>
      <c r="M18" s="335"/>
      <c r="N18" s="162">
        <f t="shared" si="1"/>
        <v>0</v>
      </c>
      <c r="O18" s="162">
        <f t="shared" si="2"/>
        <v>0</v>
      </c>
      <c r="P18" s="4"/>
    </row>
    <row r="19" spans="2:16">
      <c r="B19" s="9" t="str">
        <f>IF(D19=F18,"","IU")</f>
        <v/>
      </c>
      <c r="C19" s="157">
        <f>IF(D11="","-",+C18+1)</f>
        <v>2019</v>
      </c>
      <c r="D19" s="166">
        <f>IF(F18+SUM(E$17:E18)=D$10,F18,D$10-SUM(E$17:E18))</f>
        <v>0</v>
      </c>
      <c r="E19" s="164">
        <f t="shared" ref="E19:E71" si="3">IF(+I$14&lt;F18,I$14,D19)</f>
        <v>0</v>
      </c>
      <c r="F19" s="163">
        <f t="shared" ref="F19:F71" si="4">+D19-E19</f>
        <v>0</v>
      </c>
      <c r="G19" s="165">
        <f t="shared" ref="G19:G71" si="5">(D19+F19)/2*I$12+E19</f>
        <v>0</v>
      </c>
      <c r="H19" s="147">
        <f t="shared" ref="H19:H71" si="6">+(D19+F19)/2*I$13+E19</f>
        <v>0</v>
      </c>
      <c r="I19" s="160">
        <f t="shared" ref="I19:I71" si="7">H19-G19</f>
        <v>0</v>
      </c>
      <c r="J19" s="160"/>
      <c r="K19" s="335"/>
      <c r="L19" s="162">
        <f t="shared" si="0"/>
        <v>0</v>
      </c>
      <c r="M19" s="335"/>
      <c r="N19" s="162">
        <f t="shared" si="1"/>
        <v>0</v>
      </c>
      <c r="O19" s="162">
        <f t="shared" si="2"/>
        <v>0</v>
      </c>
      <c r="P19" s="4"/>
    </row>
    <row r="20" spans="2:16">
      <c r="B20" s="9" t="str">
        <f t="shared" ref="B20:B72" si="8">IF(D20=F19,"","IU")</f>
        <v/>
      </c>
      <c r="C20" s="157">
        <f>IF(D11="","-",+C19+1)</f>
        <v>2020</v>
      </c>
      <c r="D20" s="166">
        <f>IF(F19+SUM(E$17:E19)=D$10,F19,D$10-SUM(E$17:E19))</f>
        <v>0</v>
      </c>
      <c r="E20" s="164">
        <f t="shared" si="3"/>
        <v>0</v>
      </c>
      <c r="F20" s="163">
        <f t="shared" si="4"/>
        <v>0</v>
      </c>
      <c r="G20" s="165">
        <f t="shared" si="5"/>
        <v>0</v>
      </c>
      <c r="H20" s="147">
        <f t="shared" si="6"/>
        <v>0</v>
      </c>
      <c r="I20" s="160">
        <f t="shared" si="7"/>
        <v>0</v>
      </c>
      <c r="J20" s="160"/>
      <c r="K20" s="335"/>
      <c r="L20" s="162">
        <f t="shared" si="0"/>
        <v>0</v>
      </c>
      <c r="M20" s="335"/>
      <c r="N20" s="162">
        <f t="shared" si="1"/>
        <v>0</v>
      </c>
      <c r="O20" s="162">
        <f t="shared" si="2"/>
        <v>0</v>
      </c>
      <c r="P20" s="4"/>
    </row>
    <row r="21" spans="2:16">
      <c r="B21" s="9" t="str">
        <f t="shared" si="8"/>
        <v/>
      </c>
      <c r="C21" s="157">
        <f>IF(D11="","-",+C20+1)</f>
        <v>2021</v>
      </c>
      <c r="D21" s="166">
        <f>IF(F20+SUM(E$17:E20)=D$10,F20,D$10-SUM(E$17:E20))</f>
        <v>0</v>
      </c>
      <c r="E21" s="164">
        <f t="shared" si="3"/>
        <v>0</v>
      </c>
      <c r="F21" s="163">
        <f t="shared" si="4"/>
        <v>0</v>
      </c>
      <c r="G21" s="165">
        <f t="shared" si="5"/>
        <v>0</v>
      </c>
      <c r="H21" s="147">
        <f t="shared" si="6"/>
        <v>0</v>
      </c>
      <c r="I21" s="160">
        <f t="shared" si="7"/>
        <v>0</v>
      </c>
      <c r="J21" s="160"/>
      <c r="K21" s="335"/>
      <c r="L21" s="162">
        <f t="shared" si="0"/>
        <v>0</v>
      </c>
      <c r="M21" s="335"/>
      <c r="N21" s="162">
        <f t="shared" si="1"/>
        <v>0</v>
      </c>
      <c r="O21" s="162">
        <f t="shared" si="2"/>
        <v>0</v>
      </c>
      <c r="P21" s="4"/>
    </row>
    <row r="22" spans="2:16">
      <c r="B22" s="9" t="str">
        <f t="shared" si="8"/>
        <v/>
      </c>
      <c r="C22" s="157">
        <f>IF(D11="","-",+C21+1)</f>
        <v>2022</v>
      </c>
      <c r="D22" s="166">
        <f>IF(F21+SUM(E$17:E21)=D$10,F21,D$10-SUM(E$17:E21))</f>
        <v>0</v>
      </c>
      <c r="E22" s="164">
        <f t="shared" si="3"/>
        <v>0</v>
      </c>
      <c r="F22" s="163">
        <f t="shared" si="4"/>
        <v>0</v>
      </c>
      <c r="G22" s="165">
        <f t="shared" si="5"/>
        <v>0</v>
      </c>
      <c r="H22" s="147">
        <f t="shared" si="6"/>
        <v>0</v>
      </c>
      <c r="I22" s="160">
        <f t="shared" si="7"/>
        <v>0</v>
      </c>
      <c r="J22" s="160"/>
      <c r="K22" s="335"/>
      <c r="L22" s="162">
        <f t="shared" si="0"/>
        <v>0</v>
      </c>
      <c r="M22" s="335"/>
      <c r="N22" s="162">
        <f t="shared" si="1"/>
        <v>0</v>
      </c>
      <c r="O22" s="162">
        <f t="shared" si="2"/>
        <v>0</v>
      </c>
      <c r="P22" s="4"/>
    </row>
    <row r="23" spans="2:16">
      <c r="B23" s="9" t="str">
        <f t="shared" si="8"/>
        <v/>
      </c>
      <c r="C23" s="157">
        <f>IF(D11="","-",+C22+1)</f>
        <v>2023</v>
      </c>
      <c r="D23" s="166">
        <f>IF(F22+SUM(E$17:E22)=D$10,F22,D$10-SUM(E$17:E22))</f>
        <v>0</v>
      </c>
      <c r="E23" s="164">
        <f t="shared" si="3"/>
        <v>0</v>
      </c>
      <c r="F23" s="163">
        <f t="shared" si="4"/>
        <v>0</v>
      </c>
      <c r="G23" s="165">
        <f t="shared" si="5"/>
        <v>0</v>
      </c>
      <c r="H23" s="147">
        <f t="shared" si="6"/>
        <v>0</v>
      </c>
      <c r="I23" s="160">
        <f t="shared" si="7"/>
        <v>0</v>
      </c>
      <c r="J23" s="160"/>
      <c r="K23" s="335"/>
      <c r="L23" s="162">
        <f t="shared" si="0"/>
        <v>0</v>
      </c>
      <c r="M23" s="335"/>
      <c r="N23" s="162">
        <f t="shared" si="1"/>
        <v>0</v>
      </c>
      <c r="O23" s="162">
        <f t="shared" si="2"/>
        <v>0</v>
      </c>
      <c r="P23" s="4"/>
    </row>
    <row r="24" spans="2:16">
      <c r="B24" s="9" t="str">
        <f t="shared" si="8"/>
        <v/>
      </c>
      <c r="C24" s="157">
        <f>IF(D11="","-",+C23+1)</f>
        <v>2024</v>
      </c>
      <c r="D24" s="166">
        <f>IF(F23+SUM(E$17:E23)=D$10,F23,D$10-SUM(E$17:E23))</f>
        <v>0</v>
      </c>
      <c r="E24" s="164">
        <f t="shared" si="3"/>
        <v>0</v>
      </c>
      <c r="F24" s="163">
        <f t="shared" si="4"/>
        <v>0</v>
      </c>
      <c r="G24" s="165">
        <f t="shared" si="5"/>
        <v>0</v>
      </c>
      <c r="H24" s="147">
        <f t="shared" si="6"/>
        <v>0</v>
      </c>
      <c r="I24" s="160">
        <f t="shared" si="7"/>
        <v>0</v>
      </c>
      <c r="J24" s="160"/>
      <c r="K24" s="335"/>
      <c r="L24" s="162">
        <f t="shared" si="0"/>
        <v>0</v>
      </c>
      <c r="M24" s="335"/>
      <c r="N24" s="162">
        <f t="shared" si="1"/>
        <v>0</v>
      </c>
      <c r="O24" s="162">
        <f t="shared" si="2"/>
        <v>0</v>
      </c>
      <c r="P24" s="4"/>
    </row>
    <row r="25" spans="2:16">
      <c r="B25" s="9" t="str">
        <f t="shared" si="8"/>
        <v/>
      </c>
      <c r="C25" s="157">
        <f>IF(D11="","-",+C24+1)</f>
        <v>2025</v>
      </c>
      <c r="D25" s="166">
        <f>IF(F24+SUM(E$17:E24)=D$10,F24,D$10-SUM(E$17:E24))</f>
        <v>0</v>
      </c>
      <c r="E25" s="164">
        <f t="shared" si="3"/>
        <v>0</v>
      </c>
      <c r="F25" s="163">
        <f t="shared" si="4"/>
        <v>0</v>
      </c>
      <c r="G25" s="165">
        <f t="shared" si="5"/>
        <v>0</v>
      </c>
      <c r="H25" s="147">
        <f t="shared" si="6"/>
        <v>0</v>
      </c>
      <c r="I25" s="160">
        <f t="shared" si="7"/>
        <v>0</v>
      </c>
      <c r="J25" s="160"/>
      <c r="K25" s="335"/>
      <c r="L25" s="162">
        <f t="shared" si="0"/>
        <v>0</v>
      </c>
      <c r="M25" s="335"/>
      <c r="N25" s="162">
        <f t="shared" si="1"/>
        <v>0</v>
      </c>
      <c r="O25" s="162">
        <f t="shared" si="2"/>
        <v>0</v>
      </c>
      <c r="P25" s="4"/>
    </row>
    <row r="26" spans="2:16">
      <c r="B26" s="9" t="str">
        <f t="shared" si="8"/>
        <v/>
      </c>
      <c r="C26" s="157">
        <f>IF(D11="","-",+C25+1)</f>
        <v>2026</v>
      </c>
      <c r="D26" s="166">
        <f>IF(F25+SUM(E$17:E25)=D$10,F25,D$10-SUM(E$17:E25))</f>
        <v>0</v>
      </c>
      <c r="E26" s="164">
        <f t="shared" si="3"/>
        <v>0</v>
      </c>
      <c r="F26" s="163">
        <f t="shared" si="4"/>
        <v>0</v>
      </c>
      <c r="G26" s="165">
        <f t="shared" si="5"/>
        <v>0</v>
      </c>
      <c r="H26" s="147">
        <f t="shared" si="6"/>
        <v>0</v>
      </c>
      <c r="I26" s="160">
        <f t="shared" si="7"/>
        <v>0</v>
      </c>
      <c r="J26" s="160"/>
      <c r="K26" s="335"/>
      <c r="L26" s="162">
        <f t="shared" si="0"/>
        <v>0</v>
      </c>
      <c r="M26" s="335"/>
      <c r="N26" s="162">
        <f t="shared" si="1"/>
        <v>0</v>
      </c>
      <c r="O26" s="162">
        <f t="shared" si="2"/>
        <v>0</v>
      </c>
      <c r="P26" s="4"/>
    </row>
    <row r="27" spans="2:16">
      <c r="B27" s="9" t="str">
        <f t="shared" si="8"/>
        <v/>
      </c>
      <c r="C27" s="157">
        <f>IF(D11="","-",+C26+1)</f>
        <v>2027</v>
      </c>
      <c r="D27" s="166">
        <f>IF(F26+SUM(E$17:E26)=D$10,F26,D$10-SUM(E$17:E26))</f>
        <v>0</v>
      </c>
      <c r="E27" s="164">
        <f t="shared" si="3"/>
        <v>0</v>
      </c>
      <c r="F27" s="163">
        <f t="shared" si="4"/>
        <v>0</v>
      </c>
      <c r="G27" s="165">
        <f t="shared" si="5"/>
        <v>0</v>
      </c>
      <c r="H27" s="147">
        <f t="shared" si="6"/>
        <v>0</v>
      </c>
      <c r="I27" s="160">
        <f t="shared" si="7"/>
        <v>0</v>
      </c>
      <c r="J27" s="160"/>
      <c r="K27" s="335"/>
      <c r="L27" s="162">
        <f t="shared" si="0"/>
        <v>0</v>
      </c>
      <c r="M27" s="335"/>
      <c r="N27" s="162">
        <f t="shared" si="1"/>
        <v>0</v>
      </c>
      <c r="O27" s="162">
        <f t="shared" si="2"/>
        <v>0</v>
      </c>
      <c r="P27" s="4"/>
    </row>
    <row r="28" spans="2:16">
      <c r="B28" s="9" t="str">
        <f t="shared" si="8"/>
        <v/>
      </c>
      <c r="C28" s="157">
        <f>IF(D11="","-",+C27+1)</f>
        <v>2028</v>
      </c>
      <c r="D28" s="166">
        <f>IF(F27+SUM(E$17:E27)=D$10,F27,D$10-SUM(E$17:E27))</f>
        <v>0</v>
      </c>
      <c r="E28" s="164">
        <f t="shared" si="3"/>
        <v>0</v>
      </c>
      <c r="F28" s="163">
        <f t="shared" si="4"/>
        <v>0</v>
      </c>
      <c r="G28" s="165">
        <f t="shared" si="5"/>
        <v>0</v>
      </c>
      <c r="H28" s="147">
        <f t="shared" si="6"/>
        <v>0</v>
      </c>
      <c r="I28" s="160">
        <f t="shared" si="7"/>
        <v>0</v>
      </c>
      <c r="J28" s="160"/>
      <c r="K28" s="335"/>
      <c r="L28" s="162">
        <f t="shared" si="0"/>
        <v>0</v>
      </c>
      <c r="M28" s="335"/>
      <c r="N28" s="162">
        <f t="shared" si="1"/>
        <v>0</v>
      </c>
      <c r="O28" s="162">
        <f t="shared" si="2"/>
        <v>0</v>
      </c>
      <c r="P28" s="4"/>
    </row>
    <row r="29" spans="2:16">
      <c r="B29" s="9" t="str">
        <f t="shared" si="8"/>
        <v/>
      </c>
      <c r="C29" s="157">
        <f>IF(D11="","-",+C28+1)</f>
        <v>2029</v>
      </c>
      <c r="D29" s="166">
        <f>IF(F28+SUM(E$17:E28)=D$10,F28,D$10-SUM(E$17:E28))</f>
        <v>0</v>
      </c>
      <c r="E29" s="164">
        <f t="shared" si="3"/>
        <v>0</v>
      </c>
      <c r="F29" s="163">
        <f t="shared" si="4"/>
        <v>0</v>
      </c>
      <c r="G29" s="165">
        <f t="shared" si="5"/>
        <v>0</v>
      </c>
      <c r="H29" s="147">
        <f t="shared" si="6"/>
        <v>0</v>
      </c>
      <c r="I29" s="160">
        <f t="shared" si="7"/>
        <v>0</v>
      </c>
      <c r="J29" s="160"/>
      <c r="K29" s="335"/>
      <c r="L29" s="162">
        <f t="shared" si="0"/>
        <v>0</v>
      </c>
      <c r="M29" s="335"/>
      <c r="N29" s="162">
        <f t="shared" si="1"/>
        <v>0</v>
      </c>
      <c r="O29" s="162">
        <f t="shared" si="2"/>
        <v>0</v>
      </c>
      <c r="P29" s="4"/>
    </row>
    <row r="30" spans="2:16">
      <c r="B30" s="9" t="str">
        <f t="shared" si="8"/>
        <v/>
      </c>
      <c r="C30" s="157">
        <f>IF(D11="","-",+C29+1)</f>
        <v>2030</v>
      </c>
      <c r="D30" s="166">
        <f>IF(F29+SUM(E$17:E29)=D$10,F29,D$10-SUM(E$17:E29))</f>
        <v>0</v>
      </c>
      <c r="E30" s="164">
        <f t="shared" si="3"/>
        <v>0</v>
      </c>
      <c r="F30" s="163">
        <f t="shared" si="4"/>
        <v>0</v>
      </c>
      <c r="G30" s="165">
        <f t="shared" si="5"/>
        <v>0</v>
      </c>
      <c r="H30" s="147">
        <f t="shared" si="6"/>
        <v>0</v>
      </c>
      <c r="I30" s="160">
        <f t="shared" si="7"/>
        <v>0</v>
      </c>
      <c r="J30" s="160"/>
      <c r="K30" s="335"/>
      <c r="L30" s="162">
        <f t="shared" si="0"/>
        <v>0</v>
      </c>
      <c r="M30" s="335"/>
      <c r="N30" s="162">
        <f t="shared" si="1"/>
        <v>0</v>
      </c>
      <c r="O30" s="162">
        <f t="shared" si="2"/>
        <v>0</v>
      </c>
      <c r="P30" s="4"/>
    </row>
    <row r="31" spans="2:16">
      <c r="B31" s="9" t="str">
        <f t="shared" si="8"/>
        <v/>
      </c>
      <c r="C31" s="157">
        <f>IF(D11="","-",+C30+1)</f>
        <v>2031</v>
      </c>
      <c r="D31" s="166">
        <f>IF(F30+SUM(E$17:E30)=D$10,F30,D$10-SUM(E$17:E30))</f>
        <v>0</v>
      </c>
      <c r="E31" s="164">
        <f t="shared" si="3"/>
        <v>0</v>
      </c>
      <c r="F31" s="163">
        <f t="shared" si="4"/>
        <v>0</v>
      </c>
      <c r="G31" s="165">
        <f t="shared" si="5"/>
        <v>0</v>
      </c>
      <c r="H31" s="147">
        <f t="shared" si="6"/>
        <v>0</v>
      </c>
      <c r="I31" s="160">
        <f t="shared" si="7"/>
        <v>0</v>
      </c>
      <c r="J31" s="160"/>
      <c r="K31" s="335"/>
      <c r="L31" s="162">
        <f t="shared" si="0"/>
        <v>0</v>
      </c>
      <c r="M31" s="335"/>
      <c r="N31" s="162">
        <f t="shared" si="1"/>
        <v>0</v>
      </c>
      <c r="O31" s="162">
        <f t="shared" si="2"/>
        <v>0</v>
      </c>
      <c r="P31" s="4"/>
    </row>
    <row r="32" spans="2:16">
      <c r="B32" s="9" t="str">
        <f t="shared" si="8"/>
        <v/>
      </c>
      <c r="C32" s="157">
        <f>IF(D11="","-",+C31+1)</f>
        <v>2032</v>
      </c>
      <c r="D32" s="166">
        <f>IF(F31+SUM(E$17:E31)=D$10,F31,D$10-SUM(E$17:E31))</f>
        <v>0</v>
      </c>
      <c r="E32" s="164">
        <f t="shared" si="3"/>
        <v>0</v>
      </c>
      <c r="F32" s="163">
        <f t="shared" si="4"/>
        <v>0</v>
      </c>
      <c r="G32" s="165">
        <f t="shared" si="5"/>
        <v>0</v>
      </c>
      <c r="H32" s="147">
        <f t="shared" si="6"/>
        <v>0</v>
      </c>
      <c r="I32" s="160">
        <f t="shared" si="7"/>
        <v>0</v>
      </c>
      <c r="J32" s="160"/>
      <c r="K32" s="335"/>
      <c r="L32" s="162">
        <f t="shared" si="0"/>
        <v>0</v>
      </c>
      <c r="M32" s="335"/>
      <c r="N32" s="162">
        <f t="shared" si="1"/>
        <v>0</v>
      </c>
      <c r="O32" s="162">
        <f t="shared" si="2"/>
        <v>0</v>
      </c>
      <c r="P32" s="4"/>
    </row>
    <row r="33" spans="2:16">
      <c r="B33" s="9" t="str">
        <f t="shared" si="8"/>
        <v/>
      </c>
      <c r="C33" s="157">
        <f>IF(D11="","-",+C32+1)</f>
        <v>2033</v>
      </c>
      <c r="D33" s="166">
        <f>IF(F32+SUM(E$17:E32)=D$10,F32,D$10-SUM(E$17:E32))</f>
        <v>0</v>
      </c>
      <c r="E33" s="164">
        <f t="shared" si="3"/>
        <v>0</v>
      </c>
      <c r="F33" s="163">
        <f t="shared" si="4"/>
        <v>0</v>
      </c>
      <c r="G33" s="165">
        <f t="shared" si="5"/>
        <v>0</v>
      </c>
      <c r="H33" s="147">
        <f t="shared" si="6"/>
        <v>0</v>
      </c>
      <c r="I33" s="160">
        <f t="shared" si="7"/>
        <v>0</v>
      </c>
      <c r="J33" s="160"/>
      <c r="K33" s="335"/>
      <c r="L33" s="162">
        <f t="shared" si="0"/>
        <v>0</v>
      </c>
      <c r="M33" s="335"/>
      <c r="N33" s="162">
        <f t="shared" si="1"/>
        <v>0</v>
      </c>
      <c r="O33" s="162">
        <f t="shared" si="2"/>
        <v>0</v>
      </c>
      <c r="P33" s="4"/>
    </row>
    <row r="34" spans="2:16">
      <c r="B34" s="9" t="str">
        <f t="shared" si="8"/>
        <v/>
      </c>
      <c r="C34" s="157">
        <f>IF(D11="","-",+C33+1)</f>
        <v>2034</v>
      </c>
      <c r="D34" s="166">
        <f>IF(F33+SUM(E$17:E33)=D$10,F33,D$10-SUM(E$17:E33))</f>
        <v>0</v>
      </c>
      <c r="E34" s="164">
        <f t="shared" si="3"/>
        <v>0</v>
      </c>
      <c r="F34" s="163">
        <f t="shared" si="4"/>
        <v>0</v>
      </c>
      <c r="G34" s="165">
        <f t="shared" si="5"/>
        <v>0</v>
      </c>
      <c r="H34" s="147">
        <f t="shared" si="6"/>
        <v>0</v>
      </c>
      <c r="I34" s="160">
        <f t="shared" si="7"/>
        <v>0</v>
      </c>
      <c r="J34" s="160"/>
      <c r="K34" s="335"/>
      <c r="L34" s="162">
        <f t="shared" si="0"/>
        <v>0</v>
      </c>
      <c r="M34" s="335"/>
      <c r="N34" s="162">
        <f t="shared" si="1"/>
        <v>0</v>
      </c>
      <c r="O34" s="162">
        <f t="shared" si="2"/>
        <v>0</v>
      </c>
      <c r="P34" s="4"/>
    </row>
    <row r="35" spans="2:16">
      <c r="B35" s="9" t="str">
        <f t="shared" si="8"/>
        <v/>
      </c>
      <c r="C35" s="157">
        <f>IF(D11="","-",+C34+1)</f>
        <v>2035</v>
      </c>
      <c r="D35" s="166">
        <f>IF(F34+SUM(E$17:E34)=D$10,F34,D$10-SUM(E$17:E34))</f>
        <v>0</v>
      </c>
      <c r="E35" s="164">
        <f t="shared" si="3"/>
        <v>0</v>
      </c>
      <c r="F35" s="163">
        <f t="shared" si="4"/>
        <v>0</v>
      </c>
      <c r="G35" s="165">
        <f t="shared" si="5"/>
        <v>0</v>
      </c>
      <c r="H35" s="147">
        <f t="shared" si="6"/>
        <v>0</v>
      </c>
      <c r="I35" s="160">
        <f t="shared" si="7"/>
        <v>0</v>
      </c>
      <c r="J35" s="160"/>
      <c r="K35" s="335"/>
      <c r="L35" s="162">
        <f t="shared" si="0"/>
        <v>0</v>
      </c>
      <c r="M35" s="335"/>
      <c r="N35" s="162">
        <f t="shared" si="1"/>
        <v>0</v>
      </c>
      <c r="O35" s="162">
        <f t="shared" si="2"/>
        <v>0</v>
      </c>
      <c r="P35" s="4"/>
    </row>
    <row r="36" spans="2:16">
      <c r="B36" s="9" t="str">
        <f t="shared" si="8"/>
        <v/>
      </c>
      <c r="C36" s="157">
        <f>IF(D11="","-",+C35+1)</f>
        <v>2036</v>
      </c>
      <c r="D36" s="166">
        <f>IF(F35+SUM(E$17:E35)=D$10,F35,D$10-SUM(E$17:E35))</f>
        <v>0</v>
      </c>
      <c r="E36" s="164">
        <f t="shared" si="3"/>
        <v>0</v>
      </c>
      <c r="F36" s="163">
        <f t="shared" si="4"/>
        <v>0</v>
      </c>
      <c r="G36" s="165">
        <f t="shared" si="5"/>
        <v>0</v>
      </c>
      <c r="H36" s="147">
        <f t="shared" si="6"/>
        <v>0</v>
      </c>
      <c r="I36" s="160">
        <f t="shared" si="7"/>
        <v>0</v>
      </c>
      <c r="J36" s="160"/>
      <c r="K36" s="335"/>
      <c r="L36" s="162">
        <f t="shared" si="0"/>
        <v>0</v>
      </c>
      <c r="M36" s="335"/>
      <c r="N36" s="162">
        <f t="shared" si="1"/>
        <v>0</v>
      </c>
      <c r="O36" s="162">
        <f t="shared" si="2"/>
        <v>0</v>
      </c>
      <c r="P36" s="4"/>
    </row>
    <row r="37" spans="2:16">
      <c r="B37" s="9" t="str">
        <f t="shared" si="8"/>
        <v/>
      </c>
      <c r="C37" s="157">
        <f>IF(D11="","-",+C36+1)</f>
        <v>2037</v>
      </c>
      <c r="D37" s="166">
        <f>IF(F36+SUM(E$17:E36)=D$10,F36,D$10-SUM(E$17:E36))</f>
        <v>0</v>
      </c>
      <c r="E37" s="164">
        <f t="shared" si="3"/>
        <v>0</v>
      </c>
      <c r="F37" s="163">
        <f t="shared" si="4"/>
        <v>0</v>
      </c>
      <c r="G37" s="165">
        <f t="shared" si="5"/>
        <v>0</v>
      </c>
      <c r="H37" s="147">
        <f t="shared" si="6"/>
        <v>0</v>
      </c>
      <c r="I37" s="160">
        <f t="shared" si="7"/>
        <v>0</v>
      </c>
      <c r="J37" s="160"/>
      <c r="K37" s="335"/>
      <c r="L37" s="162">
        <f t="shared" si="0"/>
        <v>0</v>
      </c>
      <c r="M37" s="335"/>
      <c r="N37" s="162">
        <f t="shared" si="1"/>
        <v>0</v>
      </c>
      <c r="O37" s="162">
        <f t="shared" si="2"/>
        <v>0</v>
      </c>
      <c r="P37" s="4"/>
    </row>
    <row r="38" spans="2:16">
      <c r="B38" s="9" t="str">
        <f t="shared" si="8"/>
        <v/>
      </c>
      <c r="C38" s="157">
        <f>IF(D11="","-",+C37+1)</f>
        <v>2038</v>
      </c>
      <c r="D38" s="166">
        <f>IF(F37+SUM(E$17:E37)=D$10,F37,D$10-SUM(E$17:E37))</f>
        <v>0</v>
      </c>
      <c r="E38" s="164">
        <f t="shared" si="3"/>
        <v>0</v>
      </c>
      <c r="F38" s="163">
        <f t="shared" si="4"/>
        <v>0</v>
      </c>
      <c r="G38" s="165">
        <f t="shared" si="5"/>
        <v>0</v>
      </c>
      <c r="H38" s="147">
        <f t="shared" si="6"/>
        <v>0</v>
      </c>
      <c r="I38" s="160">
        <f t="shared" si="7"/>
        <v>0</v>
      </c>
      <c r="J38" s="160"/>
      <c r="K38" s="335"/>
      <c r="L38" s="162">
        <f t="shared" si="0"/>
        <v>0</v>
      </c>
      <c r="M38" s="335"/>
      <c r="N38" s="162">
        <f t="shared" si="1"/>
        <v>0</v>
      </c>
      <c r="O38" s="162">
        <f t="shared" si="2"/>
        <v>0</v>
      </c>
      <c r="P38" s="4"/>
    </row>
    <row r="39" spans="2:16">
      <c r="B39" s="9" t="str">
        <f t="shared" si="8"/>
        <v/>
      </c>
      <c r="C39" s="157">
        <f>IF(D11="","-",+C38+1)</f>
        <v>2039</v>
      </c>
      <c r="D39" s="166">
        <f>IF(F38+SUM(E$17:E38)=D$10,F38,D$10-SUM(E$17:E38))</f>
        <v>0</v>
      </c>
      <c r="E39" s="164">
        <f t="shared" si="3"/>
        <v>0</v>
      </c>
      <c r="F39" s="163">
        <f t="shared" si="4"/>
        <v>0</v>
      </c>
      <c r="G39" s="165">
        <f t="shared" si="5"/>
        <v>0</v>
      </c>
      <c r="H39" s="147">
        <f t="shared" si="6"/>
        <v>0</v>
      </c>
      <c r="I39" s="160">
        <f t="shared" si="7"/>
        <v>0</v>
      </c>
      <c r="J39" s="160"/>
      <c r="K39" s="335"/>
      <c r="L39" s="162">
        <f t="shared" si="0"/>
        <v>0</v>
      </c>
      <c r="M39" s="335"/>
      <c r="N39" s="162">
        <f t="shared" si="1"/>
        <v>0</v>
      </c>
      <c r="O39" s="162">
        <f t="shared" si="2"/>
        <v>0</v>
      </c>
      <c r="P39" s="4"/>
    </row>
    <row r="40" spans="2:16">
      <c r="B40" s="9" t="str">
        <f t="shared" si="8"/>
        <v/>
      </c>
      <c r="C40" s="157">
        <f>IF(D11="","-",+C39+1)</f>
        <v>2040</v>
      </c>
      <c r="D40" s="166">
        <f>IF(F39+SUM(E$17:E39)=D$10,F39,D$10-SUM(E$17:E39))</f>
        <v>0</v>
      </c>
      <c r="E40" s="164">
        <f t="shared" si="3"/>
        <v>0</v>
      </c>
      <c r="F40" s="163">
        <f t="shared" si="4"/>
        <v>0</v>
      </c>
      <c r="G40" s="165">
        <f t="shared" si="5"/>
        <v>0</v>
      </c>
      <c r="H40" s="147">
        <f t="shared" si="6"/>
        <v>0</v>
      </c>
      <c r="I40" s="160">
        <f t="shared" si="7"/>
        <v>0</v>
      </c>
      <c r="J40" s="160"/>
      <c r="K40" s="335"/>
      <c r="L40" s="162">
        <f t="shared" si="0"/>
        <v>0</v>
      </c>
      <c r="M40" s="335"/>
      <c r="N40" s="162">
        <f t="shared" si="1"/>
        <v>0</v>
      </c>
      <c r="O40" s="162">
        <f t="shared" si="2"/>
        <v>0</v>
      </c>
      <c r="P40" s="4"/>
    </row>
    <row r="41" spans="2:16">
      <c r="B41" s="9" t="str">
        <f t="shared" si="8"/>
        <v/>
      </c>
      <c r="C41" s="157">
        <f>IF(D11="","-",+C40+1)</f>
        <v>2041</v>
      </c>
      <c r="D41" s="166">
        <f>IF(F40+SUM(E$17:E40)=D$10,F40,D$10-SUM(E$17:E40))</f>
        <v>0</v>
      </c>
      <c r="E41" s="164">
        <f t="shared" si="3"/>
        <v>0</v>
      </c>
      <c r="F41" s="163">
        <f t="shared" si="4"/>
        <v>0</v>
      </c>
      <c r="G41" s="165">
        <f t="shared" si="5"/>
        <v>0</v>
      </c>
      <c r="H41" s="147">
        <f t="shared" si="6"/>
        <v>0</v>
      </c>
      <c r="I41" s="160">
        <f t="shared" si="7"/>
        <v>0</v>
      </c>
      <c r="J41" s="160"/>
      <c r="K41" s="335"/>
      <c r="L41" s="162">
        <f t="shared" si="0"/>
        <v>0</v>
      </c>
      <c r="M41" s="335"/>
      <c r="N41" s="162">
        <f t="shared" si="1"/>
        <v>0</v>
      </c>
      <c r="O41" s="162">
        <f t="shared" si="2"/>
        <v>0</v>
      </c>
      <c r="P41" s="4"/>
    </row>
    <row r="42" spans="2:16">
      <c r="B42" s="9" t="str">
        <f t="shared" si="8"/>
        <v/>
      </c>
      <c r="C42" s="157">
        <f>IF(D11="","-",+C41+1)</f>
        <v>2042</v>
      </c>
      <c r="D42" s="166">
        <f>IF(F41+SUM(E$17:E41)=D$10,F41,D$10-SUM(E$17:E41))</f>
        <v>0</v>
      </c>
      <c r="E42" s="164">
        <f t="shared" si="3"/>
        <v>0</v>
      </c>
      <c r="F42" s="163">
        <f t="shared" si="4"/>
        <v>0</v>
      </c>
      <c r="G42" s="165">
        <f t="shared" si="5"/>
        <v>0</v>
      </c>
      <c r="H42" s="147">
        <f t="shared" si="6"/>
        <v>0</v>
      </c>
      <c r="I42" s="160">
        <f t="shared" si="7"/>
        <v>0</v>
      </c>
      <c r="J42" s="160"/>
      <c r="K42" s="335"/>
      <c r="L42" s="162">
        <f t="shared" si="0"/>
        <v>0</v>
      </c>
      <c r="M42" s="335"/>
      <c r="N42" s="162">
        <f t="shared" si="1"/>
        <v>0</v>
      </c>
      <c r="O42" s="162">
        <f t="shared" si="2"/>
        <v>0</v>
      </c>
      <c r="P42" s="4"/>
    </row>
    <row r="43" spans="2:16">
      <c r="B43" s="9" t="str">
        <f t="shared" si="8"/>
        <v/>
      </c>
      <c r="C43" s="157">
        <f>IF(D11="","-",+C42+1)</f>
        <v>2043</v>
      </c>
      <c r="D43" s="166">
        <f>IF(F42+SUM(E$17:E42)=D$10,F42,D$10-SUM(E$17:E42))</f>
        <v>0</v>
      </c>
      <c r="E43" s="164">
        <f t="shared" si="3"/>
        <v>0</v>
      </c>
      <c r="F43" s="163">
        <f t="shared" si="4"/>
        <v>0</v>
      </c>
      <c r="G43" s="165">
        <f t="shared" si="5"/>
        <v>0</v>
      </c>
      <c r="H43" s="147">
        <f t="shared" si="6"/>
        <v>0</v>
      </c>
      <c r="I43" s="160">
        <f t="shared" si="7"/>
        <v>0</v>
      </c>
      <c r="J43" s="160"/>
      <c r="K43" s="335"/>
      <c r="L43" s="162">
        <f t="shared" si="0"/>
        <v>0</v>
      </c>
      <c r="M43" s="335"/>
      <c r="N43" s="162">
        <f t="shared" si="1"/>
        <v>0</v>
      </c>
      <c r="O43" s="162">
        <f t="shared" si="2"/>
        <v>0</v>
      </c>
      <c r="P43" s="4"/>
    </row>
    <row r="44" spans="2:16">
      <c r="B44" s="9" t="str">
        <f t="shared" si="8"/>
        <v/>
      </c>
      <c r="C44" s="157">
        <f>IF(D11="","-",+C43+1)</f>
        <v>2044</v>
      </c>
      <c r="D44" s="166">
        <f>IF(F43+SUM(E$17:E43)=D$10,F43,D$10-SUM(E$17:E43))</f>
        <v>0</v>
      </c>
      <c r="E44" s="164">
        <f t="shared" si="3"/>
        <v>0</v>
      </c>
      <c r="F44" s="163">
        <f t="shared" si="4"/>
        <v>0</v>
      </c>
      <c r="G44" s="165">
        <f t="shared" si="5"/>
        <v>0</v>
      </c>
      <c r="H44" s="147">
        <f t="shared" si="6"/>
        <v>0</v>
      </c>
      <c r="I44" s="160">
        <f t="shared" si="7"/>
        <v>0</v>
      </c>
      <c r="J44" s="160"/>
      <c r="K44" s="335"/>
      <c r="L44" s="162">
        <f t="shared" si="0"/>
        <v>0</v>
      </c>
      <c r="M44" s="335"/>
      <c r="N44" s="162">
        <f t="shared" si="1"/>
        <v>0</v>
      </c>
      <c r="O44" s="162">
        <f t="shared" si="2"/>
        <v>0</v>
      </c>
      <c r="P44" s="4"/>
    </row>
    <row r="45" spans="2:16">
      <c r="B45" s="9" t="str">
        <f t="shared" si="8"/>
        <v/>
      </c>
      <c r="C45" s="157">
        <f>IF(D11="","-",+C44+1)</f>
        <v>2045</v>
      </c>
      <c r="D45" s="166">
        <f>IF(F44+SUM(E$17:E44)=D$10,F44,D$10-SUM(E$17:E44))</f>
        <v>0</v>
      </c>
      <c r="E45" s="164">
        <f t="shared" si="3"/>
        <v>0</v>
      </c>
      <c r="F45" s="163">
        <f t="shared" si="4"/>
        <v>0</v>
      </c>
      <c r="G45" s="165">
        <f t="shared" si="5"/>
        <v>0</v>
      </c>
      <c r="H45" s="147">
        <f t="shared" si="6"/>
        <v>0</v>
      </c>
      <c r="I45" s="160">
        <f t="shared" si="7"/>
        <v>0</v>
      </c>
      <c r="J45" s="160"/>
      <c r="K45" s="335"/>
      <c r="L45" s="162">
        <f t="shared" si="0"/>
        <v>0</v>
      </c>
      <c r="M45" s="335"/>
      <c r="N45" s="162">
        <f t="shared" si="1"/>
        <v>0</v>
      </c>
      <c r="O45" s="162">
        <f t="shared" si="2"/>
        <v>0</v>
      </c>
      <c r="P45" s="4"/>
    </row>
    <row r="46" spans="2:16">
      <c r="B46" s="9" t="str">
        <f t="shared" si="8"/>
        <v/>
      </c>
      <c r="C46" s="157">
        <f>IF(D11="","-",+C45+1)</f>
        <v>2046</v>
      </c>
      <c r="D46" s="166">
        <f>IF(F45+SUM(E$17:E45)=D$10,F45,D$10-SUM(E$17:E45))</f>
        <v>0</v>
      </c>
      <c r="E46" s="164">
        <f t="shared" si="3"/>
        <v>0</v>
      </c>
      <c r="F46" s="163">
        <f t="shared" si="4"/>
        <v>0</v>
      </c>
      <c r="G46" s="165">
        <f t="shared" si="5"/>
        <v>0</v>
      </c>
      <c r="H46" s="147">
        <f t="shared" si="6"/>
        <v>0</v>
      </c>
      <c r="I46" s="160">
        <f t="shared" si="7"/>
        <v>0</v>
      </c>
      <c r="J46" s="160"/>
      <c r="K46" s="335"/>
      <c r="L46" s="162">
        <f t="shared" si="0"/>
        <v>0</v>
      </c>
      <c r="M46" s="335"/>
      <c r="N46" s="162">
        <f t="shared" si="1"/>
        <v>0</v>
      </c>
      <c r="O46" s="162">
        <f t="shared" si="2"/>
        <v>0</v>
      </c>
      <c r="P46" s="4"/>
    </row>
    <row r="47" spans="2:16">
      <c r="B47" s="9" t="str">
        <f t="shared" si="8"/>
        <v/>
      </c>
      <c r="C47" s="157">
        <f>IF(D11="","-",+C46+1)</f>
        <v>2047</v>
      </c>
      <c r="D47" s="166">
        <f>IF(F46+SUM(E$17:E46)=D$10,F46,D$10-SUM(E$17:E46))</f>
        <v>0</v>
      </c>
      <c r="E47" s="164">
        <f t="shared" si="3"/>
        <v>0</v>
      </c>
      <c r="F47" s="163">
        <f t="shared" si="4"/>
        <v>0</v>
      </c>
      <c r="G47" s="165">
        <f t="shared" si="5"/>
        <v>0</v>
      </c>
      <c r="H47" s="147">
        <f t="shared" si="6"/>
        <v>0</v>
      </c>
      <c r="I47" s="160">
        <f t="shared" si="7"/>
        <v>0</v>
      </c>
      <c r="J47" s="160"/>
      <c r="K47" s="335"/>
      <c r="L47" s="162">
        <f t="shared" si="0"/>
        <v>0</v>
      </c>
      <c r="M47" s="335"/>
      <c r="N47" s="162">
        <f t="shared" si="1"/>
        <v>0</v>
      </c>
      <c r="O47" s="162">
        <f t="shared" si="2"/>
        <v>0</v>
      </c>
      <c r="P47" s="4"/>
    </row>
    <row r="48" spans="2:16">
      <c r="B48" s="9" t="str">
        <f t="shared" si="8"/>
        <v/>
      </c>
      <c r="C48" s="157">
        <f>IF(D11="","-",+C47+1)</f>
        <v>2048</v>
      </c>
      <c r="D48" s="166">
        <f>IF(F47+SUM(E$17:E47)=D$10,F47,D$10-SUM(E$17:E47))</f>
        <v>0</v>
      </c>
      <c r="E48" s="164">
        <f t="shared" si="3"/>
        <v>0</v>
      </c>
      <c r="F48" s="163">
        <f t="shared" si="4"/>
        <v>0</v>
      </c>
      <c r="G48" s="165">
        <f t="shared" si="5"/>
        <v>0</v>
      </c>
      <c r="H48" s="147">
        <f t="shared" si="6"/>
        <v>0</v>
      </c>
      <c r="I48" s="160">
        <f t="shared" si="7"/>
        <v>0</v>
      </c>
      <c r="J48" s="160"/>
      <c r="K48" s="335"/>
      <c r="L48" s="162">
        <f t="shared" si="0"/>
        <v>0</v>
      </c>
      <c r="M48" s="335"/>
      <c r="N48" s="162">
        <f t="shared" si="1"/>
        <v>0</v>
      </c>
      <c r="O48" s="162">
        <f t="shared" si="2"/>
        <v>0</v>
      </c>
      <c r="P48" s="4"/>
    </row>
    <row r="49" spans="2:16">
      <c r="B49" s="9" t="str">
        <f t="shared" si="8"/>
        <v/>
      </c>
      <c r="C49" s="157">
        <f>IF(D11="","-",+C48+1)</f>
        <v>2049</v>
      </c>
      <c r="D49" s="166">
        <f>IF(F48+SUM(E$17:E48)=D$10,F48,D$10-SUM(E$17:E48))</f>
        <v>0</v>
      </c>
      <c r="E49" s="164">
        <f t="shared" si="3"/>
        <v>0</v>
      </c>
      <c r="F49" s="163">
        <f t="shared" si="4"/>
        <v>0</v>
      </c>
      <c r="G49" s="165">
        <f t="shared" si="5"/>
        <v>0</v>
      </c>
      <c r="H49" s="147">
        <f t="shared" si="6"/>
        <v>0</v>
      </c>
      <c r="I49" s="160">
        <f t="shared" si="7"/>
        <v>0</v>
      </c>
      <c r="J49" s="160"/>
      <c r="K49" s="335"/>
      <c r="L49" s="162">
        <f t="shared" ref="L49:L72" si="9">IF(K49&lt;&gt;0,+G49-K49,0)</f>
        <v>0</v>
      </c>
      <c r="M49" s="335"/>
      <c r="N49" s="162">
        <f t="shared" ref="N49:N72" si="10">IF(M49&lt;&gt;0,+H49-M49,0)</f>
        <v>0</v>
      </c>
      <c r="O49" s="162">
        <f t="shared" ref="O49:O72" si="11">+N49-L49</f>
        <v>0</v>
      </c>
      <c r="P49" s="4"/>
    </row>
    <row r="50" spans="2:16">
      <c r="B50" s="9" t="str">
        <f t="shared" si="8"/>
        <v/>
      </c>
      <c r="C50" s="157">
        <f>IF(D11="","-",+C49+1)</f>
        <v>2050</v>
      </c>
      <c r="D50" s="166">
        <f>IF(F49+SUM(E$17:E49)=D$10,F49,D$10-SUM(E$17:E49))</f>
        <v>0</v>
      </c>
      <c r="E50" s="164">
        <f t="shared" si="3"/>
        <v>0</v>
      </c>
      <c r="F50" s="163">
        <f t="shared" si="4"/>
        <v>0</v>
      </c>
      <c r="G50" s="165">
        <f t="shared" si="5"/>
        <v>0</v>
      </c>
      <c r="H50" s="147">
        <f t="shared" si="6"/>
        <v>0</v>
      </c>
      <c r="I50" s="160">
        <f t="shared" si="7"/>
        <v>0</v>
      </c>
      <c r="J50" s="160"/>
      <c r="K50" s="335"/>
      <c r="L50" s="162">
        <f t="shared" si="9"/>
        <v>0</v>
      </c>
      <c r="M50" s="335"/>
      <c r="N50" s="162">
        <f t="shared" si="10"/>
        <v>0</v>
      </c>
      <c r="O50" s="162">
        <f t="shared" si="11"/>
        <v>0</v>
      </c>
      <c r="P50" s="4"/>
    </row>
    <row r="51" spans="2:16">
      <c r="B51" s="9" t="str">
        <f t="shared" si="8"/>
        <v/>
      </c>
      <c r="C51" s="157">
        <f>IF(D11="","-",+C50+1)</f>
        <v>2051</v>
      </c>
      <c r="D51" s="166">
        <f>IF(F50+SUM(E$17:E50)=D$10,F50,D$10-SUM(E$17:E50))</f>
        <v>0</v>
      </c>
      <c r="E51" s="164">
        <f t="shared" si="3"/>
        <v>0</v>
      </c>
      <c r="F51" s="163">
        <f t="shared" si="4"/>
        <v>0</v>
      </c>
      <c r="G51" s="165">
        <f t="shared" si="5"/>
        <v>0</v>
      </c>
      <c r="H51" s="147">
        <f t="shared" si="6"/>
        <v>0</v>
      </c>
      <c r="I51" s="160">
        <f t="shared" si="7"/>
        <v>0</v>
      </c>
      <c r="J51" s="160"/>
      <c r="K51" s="335"/>
      <c r="L51" s="162">
        <f t="shared" si="9"/>
        <v>0</v>
      </c>
      <c r="M51" s="335"/>
      <c r="N51" s="162">
        <f t="shared" si="10"/>
        <v>0</v>
      </c>
      <c r="O51" s="162">
        <f t="shared" si="11"/>
        <v>0</v>
      </c>
      <c r="P51" s="4"/>
    </row>
    <row r="52" spans="2:16">
      <c r="B52" s="9" t="str">
        <f t="shared" si="8"/>
        <v/>
      </c>
      <c r="C52" s="157">
        <f>IF(D11="","-",+C51+1)</f>
        <v>2052</v>
      </c>
      <c r="D52" s="166">
        <f>IF(F51+SUM(E$17:E51)=D$10,F51,D$10-SUM(E$17:E51))</f>
        <v>0</v>
      </c>
      <c r="E52" s="164">
        <f t="shared" si="3"/>
        <v>0</v>
      </c>
      <c r="F52" s="163">
        <f t="shared" si="4"/>
        <v>0</v>
      </c>
      <c r="G52" s="165">
        <f t="shared" si="5"/>
        <v>0</v>
      </c>
      <c r="H52" s="147">
        <f t="shared" si="6"/>
        <v>0</v>
      </c>
      <c r="I52" s="160">
        <f t="shared" si="7"/>
        <v>0</v>
      </c>
      <c r="J52" s="160"/>
      <c r="K52" s="335"/>
      <c r="L52" s="162">
        <f t="shared" si="9"/>
        <v>0</v>
      </c>
      <c r="M52" s="335"/>
      <c r="N52" s="162">
        <f t="shared" si="10"/>
        <v>0</v>
      </c>
      <c r="O52" s="162">
        <f t="shared" si="11"/>
        <v>0</v>
      </c>
      <c r="P52" s="4"/>
    </row>
    <row r="53" spans="2:16">
      <c r="B53" s="9" t="str">
        <f t="shared" si="8"/>
        <v/>
      </c>
      <c r="C53" s="157">
        <f>IF(D11="","-",+C52+1)</f>
        <v>2053</v>
      </c>
      <c r="D53" s="166">
        <f>IF(F52+SUM(E$17:E52)=D$10,F52,D$10-SUM(E$17:E52))</f>
        <v>0</v>
      </c>
      <c r="E53" s="164">
        <f t="shared" si="3"/>
        <v>0</v>
      </c>
      <c r="F53" s="163">
        <f t="shared" si="4"/>
        <v>0</v>
      </c>
      <c r="G53" s="165">
        <f t="shared" si="5"/>
        <v>0</v>
      </c>
      <c r="H53" s="147">
        <f t="shared" si="6"/>
        <v>0</v>
      </c>
      <c r="I53" s="160">
        <f t="shared" si="7"/>
        <v>0</v>
      </c>
      <c r="J53" s="160"/>
      <c r="K53" s="335"/>
      <c r="L53" s="162">
        <f t="shared" si="9"/>
        <v>0</v>
      </c>
      <c r="M53" s="335"/>
      <c r="N53" s="162">
        <f t="shared" si="10"/>
        <v>0</v>
      </c>
      <c r="O53" s="162">
        <f t="shared" si="11"/>
        <v>0</v>
      </c>
      <c r="P53" s="4"/>
    </row>
    <row r="54" spans="2:16">
      <c r="B54" s="9" t="str">
        <f t="shared" si="8"/>
        <v/>
      </c>
      <c r="C54" s="157">
        <f>IF(D11="","-",+C53+1)</f>
        <v>2054</v>
      </c>
      <c r="D54" s="166">
        <f>IF(F53+SUM(E$17:E53)=D$10,F53,D$10-SUM(E$17:E53))</f>
        <v>0</v>
      </c>
      <c r="E54" s="164">
        <f t="shared" si="3"/>
        <v>0</v>
      </c>
      <c r="F54" s="163">
        <f t="shared" si="4"/>
        <v>0</v>
      </c>
      <c r="G54" s="165">
        <f t="shared" si="5"/>
        <v>0</v>
      </c>
      <c r="H54" s="147">
        <f t="shared" si="6"/>
        <v>0</v>
      </c>
      <c r="I54" s="160">
        <f t="shared" si="7"/>
        <v>0</v>
      </c>
      <c r="J54" s="160"/>
      <c r="K54" s="335"/>
      <c r="L54" s="162">
        <f t="shared" si="9"/>
        <v>0</v>
      </c>
      <c r="M54" s="335"/>
      <c r="N54" s="162">
        <f t="shared" si="10"/>
        <v>0</v>
      </c>
      <c r="O54" s="162">
        <f t="shared" si="11"/>
        <v>0</v>
      </c>
      <c r="P54" s="4"/>
    </row>
    <row r="55" spans="2:16">
      <c r="B55" s="9" t="str">
        <f t="shared" si="8"/>
        <v/>
      </c>
      <c r="C55" s="157">
        <f>IF(D11="","-",+C54+1)</f>
        <v>2055</v>
      </c>
      <c r="D55" s="166">
        <f>IF(F54+SUM(E$17:E54)=D$10,F54,D$10-SUM(E$17:E54))</f>
        <v>0</v>
      </c>
      <c r="E55" s="164">
        <f t="shared" si="3"/>
        <v>0</v>
      </c>
      <c r="F55" s="163">
        <f t="shared" si="4"/>
        <v>0</v>
      </c>
      <c r="G55" s="165">
        <f t="shared" si="5"/>
        <v>0</v>
      </c>
      <c r="H55" s="147">
        <f t="shared" si="6"/>
        <v>0</v>
      </c>
      <c r="I55" s="160">
        <f t="shared" si="7"/>
        <v>0</v>
      </c>
      <c r="J55" s="160"/>
      <c r="K55" s="335"/>
      <c r="L55" s="162">
        <f t="shared" si="9"/>
        <v>0</v>
      </c>
      <c r="M55" s="335"/>
      <c r="N55" s="162">
        <f t="shared" si="10"/>
        <v>0</v>
      </c>
      <c r="O55" s="162">
        <f t="shared" si="11"/>
        <v>0</v>
      </c>
      <c r="P55" s="4"/>
    </row>
    <row r="56" spans="2:16">
      <c r="B56" s="9" t="str">
        <f t="shared" si="8"/>
        <v/>
      </c>
      <c r="C56" s="157">
        <f>IF(D11="","-",+C55+1)</f>
        <v>2056</v>
      </c>
      <c r="D56" s="166">
        <f>IF(F55+SUM(E$17:E55)=D$10,F55,D$10-SUM(E$17:E55))</f>
        <v>0</v>
      </c>
      <c r="E56" s="164">
        <f t="shared" si="3"/>
        <v>0</v>
      </c>
      <c r="F56" s="163">
        <f t="shared" si="4"/>
        <v>0</v>
      </c>
      <c r="G56" s="165">
        <f t="shared" si="5"/>
        <v>0</v>
      </c>
      <c r="H56" s="147">
        <f t="shared" si="6"/>
        <v>0</v>
      </c>
      <c r="I56" s="160">
        <f t="shared" si="7"/>
        <v>0</v>
      </c>
      <c r="J56" s="160"/>
      <c r="K56" s="335"/>
      <c r="L56" s="162">
        <f t="shared" si="9"/>
        <v>0</v>
      </c>
      <c r="M56" s="335"/>
      <c r="N56" s="162">
        <f t="shared" si="10"/>
        <v>0</v>
      </c>
      <c r="O56" s="162">
        <f t="shared" si="11"/>
        <v>0</v>
      </c>
      <c r="P56" s="4"/>
    </row>
    <row r="57" spans="2:16">
      <c r="B57" s="9" t="str">
        <f t="shared" si="8"/>
        <v/>
      </c>
      <c r="C57" s="157">
        <f>IF(D11="","-",+C56+1)</f>
        <v>2057</v>
      </c>
      <c r="D57" s="166">
        <f>IF(F56+SUM(E$17:E56)=D$10,F56,D$10-SUM(E$17:E56))</f>
        <v>0</v>
      </c>
      <c r="E57" s="164">
        <f t="shared" si="3"/>
        <v>0</v>
      </c>
      <c r="F57" s="163">
        <f t="shared" si="4"/>
        <v>0</v>
      </c>
      <c r="G57" s="165">
        <f t="shared" si="5"/>
        <v>0</v>
      </c>
      <c r="H57" s="147">
        <f t="shared" si="6"/>
        <v>0</v>
      </c>
      <c r="I57" s="160">
        <f t="shared" si="7"/>
        <v>0</v>
      </c>
      <c r="J57" s="160"/>
      <c r="K57" s="335"/>
      <c r="L57" s="162">
        <f t="shared" si="9"/>
        <v>0</v>
      </c>
      <c r="M57" s="335"/>
      <c r="N57" s="162">
        <f t="shared" si="10"/>
        <v>0</v>
      </c>
      <c r="O57" s="162">
        <f t="shared" si="11"/>
        <v>0</v>
      </c>
      <c r="P57" s="4"/>
    </row>
    <row r="58" spans="2:16">
      <c r="B58" s="9" t="str">
        <f t="shared" si="8"/>
        <v/>
      </c>
      <c r="C58" s="157">
        <f>IF(D11="","-",+C57+1)</f>
        <v>2058</v>
      </c>
      <c r="D58" s="166">
        <f>IF(F57+SUM(E$17:E57)=D$10,F57,D$10-SUM(E$17:E57))</f>
        <v>0</v>
      </c>
      <c r="E58" s="164">
        <f t="shared" si="3"/>
        <v>0</v>
      </c>
      <c r="F58" s="163">
        <f t="shared" si="4"/>
        <v>0</v>
      </c>
      <c r="G58" s="165">
        <f t="shared" si="5"/>
        <v>0</v>
      </c>
      <c r="H58" s="147">
        <f t="shared" si="6"/>
        <v>0</v>
      </c>
      <c r="I58" s="160">
        <f t="shared" si="7"/>
        <v>0</v>
      </c>
      <c r="J58" s="160"/>
      <c r="K58" s="335"/>
      <c r="L58" s="162">
        <f t="shared" si="9"/>
        <v>0</v>
      </c>
      <c r="M58" s="335"/>
      <c r="N58" s="162">
        <f t="shared" si="10"/>
        <v>0</v>
      </c>
      <c r="O58" s="162">
        <f t="shared" si="11"/>
        <v>0</v>
      </c>
      <c r="P58" s="4"/>
    </row>
    <row r="59" spans="2:16">
      <c r="B59" s="9" t="str">
        <f t="shared" si="8"/>
        <v/>
      </c>
      <c r="C59" s="157">
        <f>IF(D11="","-",+C58+1)</f>
        <v>2059</v>
      </c>
      <c r="D59" s="166">
        <f>IF(F58+SUM(E$17:E58)=D$10,F58,D$10-SUM(E$17:E58))</f>
        <v>0</v>
      </c>
      <c r="E59" s="164">
        <f t="shared" si="3"/>
        <v>0</v>
      </c>
      <c r="F59" s="163">
        <f t="shared" si="4"/>
        <v>0</v>
      </c>
      <c r="G59" s="165">
        <f t="shared" si="5"/>
        <v>0</v>
      </c>
      <c r="H59" s="147">
        <f t="shared" si="6"/>
        <v>0</v>
      </c>
      <c r="I59" s="160">
        <f t="shared" si="7"/>
        <v>0</v>
      </c>
      <c r="J59" s="160"/>
      <c r="K59" s="335"/>
      <c r="L59" s="162">
        <f t="shared" si="9"/>
        <v>0</v>
      </c>
      <c r="M59" s="335"/>
      <c r="N59" s="162">
        <f t="shared" si="10"/>
        <v>0</v>
      </c>
      <c r="O59" s="162">
        <f t="shared" si="11"/>
        <v>0</v>
      </c>
      <c r="P59" s="4"/>
    </row>
    <row r="60" spans="2:16">
      <c r="B60" s="9" t="str">
        <f t="shared" si="8"/>
        <v/>
      </c>
      <c r="C60" s="157">
        <f>IF(D11="","-",+C59+1)</f>
        <v>2060</v>
      </c>
      <c r="D60" s="166">
        <f>IF(F59+SUM(E$17:E59)=D$10,F59,D$10-SUM(E$17:E59))</f>
        <v>0</v>
      </c>
      <c r="E60" s="164">
        <f t="shared" si="3"/>
        <v>0</v>
      </c>
      <c r="F60" s="163">
        <f t="shared" si="4"/>
        <v>0</v>
      </c>
      <c r="G60" s="165">
        <f t="shared" si="5"/>
        <v>0</v>
      </c>
      <c r="H60" s="147">
        <f t="shared" si="6"/>
        <v>0</v>
      </c>
      <c r="I60" s="160">
        <f t="shared" si="7"/>
        <v>0</v>
      </c>
      <c r="J60" s="160"/>
      <c r="K60" s="335"/>
      <c r="L60" s="162">
        <f t="shared" si="9"/>
        <v>0</v>
      </c>
      <c r="M60" s="335"/>
      <c r="N60" s="162">
        <f t="shared" si="10"/>
        <v>0</v>
      </c>
      <c r="O60" s="162">
        <f t="shared" si="11"/>
        <v>0</v>
      </c>
      <c r="P60" s="4"/>
    </row>
    <row r="61" spans="2:16">
      <c r="B61" s="9" t="str">
        <f t="shared" si="8"/>
        <v/>
      </c>
      <c r="C61" s="157">
        <f>IF(D11="","-",+C60+1)</f>
        <v>2061</v>
      </c>
      <c r="D61" s="166">
        <f>IF(F60+SUM(E$17:E60)=D$10,F60,D$10-SUM(E$17:E60))</f>
        <v>0</v>
      </c>
      <c r="E61" s="164">
        <f t="shared" si="3"/>
        <v>0</v>
      </c>
      <c r="F61" s="163">
        <f t="shared" si="4"/>
        <v>0</v>
      </c>
      <c r="G61" s="165">
        <f t="shared" si="5"/>
        <v>0</v>
      </c>
      <c r="H61" s="147">
        <f t="shared" si="6"/>
        <v>0</v>
      </c>
      <c r="I61" s="160">
        <f t="shared" si="7"/>
        <v>0</v>
      </c>
      <c r="J61" s="160"/>
      <c r="K61" s="335"/>
      <c r="L61" s="162">
        <f t="shared" si="9"/>
        <v>0</v>
      </c>
      <c r="M61" s="335"/>
      <c r="N61" s="162">
        <f t="shared" si="10"/>
        <v>0</v>
      </c>
      <c r="O61" s="162">
        <f t="shared" si="11"/>
        <v>0</v>
      </c>
      <c r="P61" s="4"/>
    </row>
    <row r="62" spans="2:16">
      <c r="B62" s="9" t="str">
        <f t="shared" si="8"/>
        <v/>
      </c>
      <c r="C62" s="157">
        <f>IF(D11="","-",+C61+1)</f>
        <v>2062</v>
      </c>
      <c r="D62" s="166">
        <f>IF(F61+SUM(E$17:E61)=D$10,F61,D$10-SUM(E$17:E61))</f>
        <v>0</v>
      </c>
      <c r="E62" s="164">
        <f t="shared" si="3"/>
        <v>0</v>
      </c>
      <c r="F62" s="163">
        <f t="shared" si="4"/>
        <v>0</v>
      </c>
      <c r="G62" s="165">
        <f t="shared" si="5"/>
        <v>0</v>
      </c>
      <c r="H62" s="147">
        <f t="shared" si="6"/>
        <v>0</v>
      </c>
      <c r="I62" s="160">
        <f t="shared" si="7"/>
        <v>0</v>
      </c>
      <c r="J62" s="160"/>
      <c r="K62" s="335"/>
      <c r="L62" s="162">
        <f t="shared" si="9"/>
        <v>0</v>
      </c>
      <c r="M62" s="335"/>
      <c r="N62" s="162">
        <f t="shared" si="10"/>
        <v>0</v>
      </c>
      <c r="O62" s="162">
        <f t="shared" si="11"/>
        <v>0</v>
      </c>
      <c r="P62" s="4"/>
    </row>
    <row r="63" spans="2:16">
      <c r="B63" s="9" t="str">
        <f t="shared" si="8"/>
        <v/>
      </c>
      <c r="C63" s="157">
        <f>IF(D11="","-",+C62+1)</f>
        <v>2063</v>
      </c>
      <c r="D63" s="166">
        <f>IF(F62+SUM(E$17:E62)=D$10,F62,D$10-SUM(E$17:E62))</f>
        <v>0</v>
      </c>
      <c r="E63" s="164">
        <f t="shared" si="3"/>
        <v>0</v>
      </c>
      <c r="F63" s="163">
        <f t="shared" si="4"/>
        <v>0</v>
      </c>
      <c r="G63" s="165">
        <f t="shared" si="5"/>
        <v>0</v>
      </c>
      <c r="H63" s="147">
        <f t="shared" si="6"/>
        <v>0</v>
      </c>
      <c r="I63" s="160">
        <f t="shared" si="7"/>
        <v>0</v>
      </c>
      <c r="J63" s="160"/>
      <c r="K63" s="335"/>
      <c r="L63" s="162">
        <f t="shared" si="9"/>
        <v>0</v>
      </c>
      <c r="M63" s="335"/>
      <c r="N63" s="162">
        <f t="shared" si="10"/>
        <v>0</v>
      </c>
      <c r="O63" s="162">
        <f t="shared" si="11"/>
        <v>0</v>
      </c>
      <c r="P63" s="4"/>
    </row>
    <row r="64" spans="2:16">
      <c r="B64" s="9" t="str">
        <f t="shared" si="8"/>
        <v/>
      </c>
      <c r="C64" s="157">
        <f>IF(D11="","-",+C63+1)</f>
        <v>2064</v>
      </c>
      <c r="D64" s="166">
        <f>IF(F63+SUM(E$17:E63)=D$10,F63,D$10-SUM(E$17:E63))</f>
        <v>0</v>
      </c>
      <c r="E64" s="164">
        <f t="shared" si="3"/>
        <v>0</v>
      </c>
      <c r="F64" s="163">
        <f t="shared" si="4"/>
        <v>0</v>
      </c>
      <c r="G64" s="165">
        <f t="shared" si="5"/>
        <v>0</v>
      </c>
      <c r="H64" s="147">
        <f t="shared" si="6"/>
        <v>0</v>
      </c>
      <c r="I64" s="160">
        <f t="shared" si="7"/>
        <v>0</v>
      </c>
      <c r="J64" s="160"/>
      <c r="K64" s="335"/>
      <c r="L64" s="162">
        <f t="shared" si="9"/>
        <v>0</v>
      </c>
      <c r="M64" s="335"/>
      <c r="N64" s="162">
        <f t="shared" si="10"/>
        <v>0</v>
      </c>
      <c r="O64" s="162">
        <f t="shared" si="11"/>
        <v>0</v>
      </c>
      <c r="P64" s="4"/>
    </row>
    <row r="65" spans="2:16">
      <c r="B65" s="9" t="str">
        <f t="shared" si="8"/>
        <v/>
      </c>
      <c r="C65" s="157">
        <f>IF(D11="","-",+C64+1)</f>
        <v>2065</v>
      </c>
      <c r="D65" s="166">
        <f>IF(F64+SUM(E$17:E64)=D$10,F64,D$10-SUM(E$17:E64))</f>
        <v>0</v>
      </c>
      <c r="E65" s="164">
        <f t="shared" si="3"/>
        <v>0</v>
      </c>
      <c r="F65" s="163">
        <f t="shared" si="4"/>
        <v>0</v>
      </c>
      <c r="G65" s="165">
        <f t="shared" si="5"/>
        <v>0</v>
      </c>
      <c r="H65" s="147">
        <f t="shared" si="6"/>
        <v>0</v>
      </c>
      <c r="I65" s="160">
        <f t="shared" si="7"/>
        <v>0</v>
      </c>
      <c r="J65" s="160"/>
      <c r="K65" s="335"/>
      <c r="L65" s="162">
        <f t="shared" si="9"/>
        <v>0</v>
      </c>
      <c r="M65" s="335"/>
      <c r="N65" s="162">
        <f t="shared" si="10"/>
        <v>0</v>
      </c>
      <c r="O65" s="162">
        <f t="shared" si="11"/>
        <v>0</v>
      </c>
      <c r="P65" s="4"/>
    </row>
    <row r="66" spans="2:16">
      <c r="B66" s="9" t="str">
        <f t="shared" si="8"/>
        <v/>
      </c>
      <c r="C66" s="157">
        <f>IF(D11="","-",+C65+1)</f>
        <v>2066</v>
      </c>
      <c r="D66" s="166">
        <f>IF(F65+SUM(E$17:E65)=D$10,F65,D$10-SUM(E$17:E65))</f>
        <v>0</v>
      </c>
      <c r="E66" s="164">
        <f t="shared" si="3"/>
        <v>0</v>
      </c>
      <c r="F66" s="163">
        <f t="shared" si="4"/>
        <v>0</v>
      </c>
      <c r="G66" s="165">
        <f t="shared" si="5"/>
        <v>0</v>
      </c>
      <c r="H66" s="147">
        <f t="shared" si="6"/>
        <v>0</v>
      </c>
      <c r="I66" s="160">
        <f t="shared" si="7"/>
        <v>0</v>
      </c>
      <c r="J66" s="160"/>
      <c r="K66" s="335"/>
      <c r="L66" s="162">
        <f t="shared" si="9"/>
        <v>0</v>
      </c>
      <c r="M66" s="335"/>
      <c r="N66" s="162">
        <f t="shared" si="10"/>
        <v>0</v>
      </c>
      <c r="O66" s="162">
        <f t="shared" si="11"/>
        <v>0</v>
      </c>
      <c r="P66" s="4"/>
    </row>
    <row r="67" spans="2:16">
      <c r="B67" s="9" t="str">
        <f t="shared" si="8"/>
        <v/>
      </c>
      <c r="C67" s="157">
        <f>IF(D11="","-",+C66+1)</f>
        <v>2067</v>
      </c>
      <c r="D67" s="166">
        <f>IF(F66+SUM(E$17:E66)=D$10,F66,D$10-SUM(E$17:E66))</f>
        <v>0</v>
      </c>
      <c r="E67" s="164">
        <f t="shared" si="3"/>
        <v>0</v>
      </c>
      <c r="F67" s="163">
        <f t="shared" si="4"/>
        <v>0</v>
      </c>
      <c r="G67" s="165">
        <f t="shared" si="5"/>
        <v>0</v>
      </c>
      <c r="H67" s="147">
        <f t="shared" si="6"/>
        <v>0</v>
      </c>
      <c r="I67" s="160">
        <f t="shared" si="7"/>
        <v>0</v>
      </c>
      <c r="J67" s="160"/>
      <c r="K67" s="335"/>
      <c r="L67" s="162">
        <f t="shared" si="9"/>
        <v>0</v>
      </c>
      <c r="M67" s="335"/>
      <c r="N67" s="162">
        <f t="shared" si="10"/>
        <v>0</v>
      </c>
      <c r="O67" s="162">
        <f t="shared" si="11"/>
        <v>0</v>
      </c>
      <c r="P67" s="4"/>
    </row>
    <row r="68" spans="2:16">
      <c r="B68" s="9" t="str">
        <f t="shared" si="8"/>
        <v/>
      </c>
      <c r="C68" s="157">
        <f>IF(D11="","-",+C67+1)</f>
        <v>2068</v>
      </c>
      <c r="D68" s="166">
        <f>IF(F67+SUM(E$17:E67)=D$10,F67,D$10-SUM(E$17:E67))</f>
        <v>0</v>
      </c>
      <c r="E68" s="164">
        <f t="shared" si="3"/>
        <v>0</v>
      </c>
      <c r="F68" s="163">
        <f t="shared" si="4"/>
        <v>0</v>
      </c>
      <c r="G68" s="165">
        <f t="shared" si="5"/>
        <v>0</v>
      </c>
      <c r="H68" s="147">
        <f t="shared" si="6"/>
        <v>0</v>
      </c>
      <c r="I68" s="160">
        <f t="shared" si="7"/>
        <v>0</v>
      </c>
      <c r="J68" s="160"/>
      <c r="K68" s="335"/>
      <c r="L68" s="162">
        <f t="shared" si="9"/>
        <v>0</v>
      </c>
      <c r="M68" s="335"/>
      <c r="N68" s="162">
        <f t="shared" si="10"/>
        <v>0</v>
      </c>
      <c r="O68" s="162">
        <f t="shared" si="11"/>
        <v>0</v>
      </c>
      <c r="P68" s="4"/>
    </row>
    <row r="69" spans="2:16">
      <c r="B69" s="9" t="str">
        <f t="shared" si="8"/>
        <v/>
      </c>
      <c r="C69" s="157">
        <f>IF(D11="","-",+C68+1)</f>
        <v>2069</v>
      </c>
      <c r="D69" s="166">
        <f>IF(F68+SUM(E$17:E68)=D$10,F68,D$10-SUM(E$17:E68))</f>
        <v>0</v>
      </c>
      <c r="E69" s="164">
        <f t="shared" si="3"/>
        <v>0</v>
      </c>
      <c r="F69" s="163">
        <f t="shared" si="4"/>
        <v>0</v>
      </c>
      <c r="G69" s="165">
        <f t="shared" si="5"/>
        <v>0</v>
      </c>
      <c r="H69" s="147">
        <f t="shared" si="6"/>
        <v>0</v>
      </c>
      <c r="I69" s="160">
        <f t="shared" si="7"/>
        <v>0</v>
      </c>
      <c r="J69" s="160"/>
      <c r="K69" s="335"/>
      <c r="L69" s="162">
        <f t="shared" si="9"/>
        <v>0</v>
      </c>
      <c r="M69" s="335"/>
      <c r="N69" s="162">
        <f t="shared" si="10"/>
        <v>0</v>
      </c>
      <c r="O69" s="162">
        <f t="shared" si="11"/>
        <v>0</v>
      </c>
      <c r="P69" s="4"/>
    </row>
    <row r="70" spans="2:16">
      <c r="B70" s="9" t="str">
        <f t="shared" si="8"/>
        <v/>
      </c>
      <c r="C70" s="157">
        <f>IF(D11="","-",+C69+1)</f>
        <v>2070</v>
      </c>
      <c r="D70" s="166">
        <f>IF(F69+SUM(E$17:E69)=D$10,F69,D$10-SUM(E$17:E69))</f>
        <v>0</v>
      </c>
      <c r="E70" s="164">
        <f t="shared" si="3"/>
        <v>0</v>
      </c>
      <c r="F70" s="163">
        <f t="shared" si="4"/>
        <v>0</v>
      </c>
      <c r="G70" s="165">
        <f t="shared" si="5"/>
        <v>0</v>
      </c>
      <c r="H70" s="147">
        <f t="shared" si="6"/>
        <v>0</v>
      </c>
      <c r="I70" s="160">
        <f t="shared" si="7"/>
        <v>0</v>
      </c>
      <c r="J70" s="160"/>
      <c r="K70" s="335"/>
      <c r="L70" s="162">
        <f t="shared" si="9"/>
        <v>0</v>
      </c>
      <c r="M70" s="335"/>
      <c r="N70" s="162">
        <f t="shared" si="10"/>
        <v>0</v>
      </c>
      <c r="O70" s="162">
        <f t="shared" si="11"/>
        <v>0</v>
      </c>
      <c r="P70" s="4"/>
    </row>
    <row r="71" spans="2:16">
      <c r="B71" s="9" t="str">
        <f t="shared" si="8"/>
        <v/>
      </c>
      <c r="C71" s="157">
        <f>IF(D11="","-",+C70+1)</f>
        <v>2071</v>
      </c>
      <c r="D71" s="166">
        <f>IF(F70+SUM(E$17:E70)=D$10,F70,D$10-SUM(E$17:E70))</f>
        <v>0</v>
      </c>
      <c r="E71" s="164">
        <f t="shared" si="3"/>
        <v>0</v>
      </c>
      <c r="F71" s="163">
        <f t="shared" si="4"/>
        <v>0</v>
      </c>
      <c r="G71" s="165">
        <f t="shared" si="5"/>
        <v>0</v>
      </c>
      <c r="H71" s="147">
        <f t="shared" si="6"/>
        <v>0</v>
      </c>
      <c r="I71" s="160">
        <f t="shared" si="7"/>
        <v>0</v>
      </c>
      <c r="J71" s="160"/>
      <c r="K71" s="335"/>
      <c r="L71" s="162">
        <f t="shared" si="9"/>
        <v>0</v>
      </c>
      <c r="M71" s="335"/>
      <c r="N71" s="162">
        <f t="shared" si="10"/>
        <v>0</v>
      </c>
      <c r="O71" s="162">
        <f t="shared" si="11"/>
        <v>0</v>
      </c>
      <c r="P71" s="4"/>
    </row>
    <row r="72" spans="2:16" ht="13.5" thickBot="1">
      <c r="B72" s="9" t="str">
        <f t="shared" si="8"/>
        <v/>
      </c>
      <c r="C72" s="168">
        <f>IF(D11="","-",+C71+1)</f>
        <v>2072</v>
      </c>
      <c r="D72" s="462">
        <f>IF(F71+SUM(E$17:E71)=D$10,F71,D$10-SUM(E$17:E71))</f>
        <v>0</v>
      </c>
      <c r="E72" s="170">
        <f>IF(+I$14&lt;F71,I$14,D72)</f>
        <v>0</v>
      </c>
      <c r="F72" s="169">
        <f>+D72-E72</f>
        <v>0</v>
      </c>
      <c r="G72" s="377">
        <f>(D72+F72)/2*I$12+E72</f>
        <v>0</v>
      </c>
      <c r="H72" s="130">
        <f>+(D72+F72)/2*I$13+E72</f>
        <v>0</v>
      </c>
      <c r="I72" s="172">
        <f>H72-G72</f>
        <v>0</v>
      </c>
      <c r="J72" s="160"/>
      <c r="K72" s="336"/>
      <c r="L72" s="173">
        <f t="shared" si="9"/>
        <v>0</v>
      </c>
      <c r="M72" s="336"/>
      <c r="N72" s="173">
        <f t="shared" si="10"/>
        <v>0</v>
      </c>
      <c r="O72" s="173">
        <f t="shared" si="11"/>
        <v>0</v>
      </c>
      <c r="P72" s="4"/>
    </row>
    <row r="73" spans="2:16">
      <c r="C73" s="158" t="s">
        <v>72</v>
      </c>
      <c r="D73" s="115"/>
      <c r="E73" s="115">
        <f>SUM(E17:E72)</f>
        <v>0</v>
      </c>
      <c r="F73" s="115"/>
      <c r="G73" s="115">
        <f>SUM(G17:G72)</f>
        <v>0</v>
      </c>
      <c r="H73" s="115">
        <f>SUM(H17:H72)</f>
        <v>0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3" t="str">
        <f ca="1">P1</f>
        <v>PSO Project nk of 28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2018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0</v>
      </c>
      <c r="N87" s="202">
        <f>IF(J92&lt;D11,0,VLOOKUP(J92,C17:O72,11))</f>
        <v>0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0</v>
      </c>
      <c r="N88" s="204">
        <f>IF(J92&lt;D11,0,VLOOKUP(J92,C99:P154,7))</f>
        <v>0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inset project name here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0</v>
      </c>
      <c r="N89" s="207">
        <f>+N88-N87</f>
        <v>0</v>
      </c>
      <c r="O89" s="208">
        <f>+O88-O87</f>
        <v>0</v>
      </c>
      <c r="P89" s="1"/>
    </row>
    <row r="90" spans="1:16" ht="13.5" thickBot="1">
      <c r="C90" s="174"/>
      <c r="D90" s="177" t="str">
        <f>D8</f>
        <v>DOES NOT MEET SPP $100,000 MINIMUM INVESTMENT FOR REGIONAL BPU SHARING.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>
        <f>+D9</f>
        <v>0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222">
        <f>IF(D11=I10,0,D10)</f>
        <v>0</v>
      </c>
      <c r="E92" s="22" t="s">
        <v>89</v>
      </c>
      <c r="H92" s="139"/>
      <c r="I92" s="139"/>
      <c r="J92" s="140">
        <f>+'PSO.WS.G.BPU.ATRR.True-up'!M16</f>
        <v>2018</v>
      </c>
      <c r="K92" s="136"/>
      <c r="L92" s="115" t="s">
        <v>90</v>
      </c>
      <c r="P92" s="4"/>
    </row>
    <row r="93" spans="1:16">
      <c r="C93" s="141" t="s">
        <v>48</v>
      </c>
      <c r="D93" s="223">
        <v>2015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4</v>
      </c>
      <c r="E94" s="141" t="s">
        <v>51</v>
      </c>
      <c r="F94" s="139"/>
      <c r="G94" s="139"/>
      <c r="J94" s="145">
        <f>'PSO.WS.G.BPU.ATRR.True-up'!$F$81</f>
        <v>0.10273556682691798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43</v>
      </c>
      <c r="E95" s="141" t="s">
        <v>54</v>
      </c>
      <c r="F95" s="139"/>
      <c r="G95" s="139"/>
      <c r="J95" s="145">
        <f>IF(H87="",J94,'PSO.WS.G.BPU.ATRR.True-up'!$F$80)</f>
        <v>0.10273556682691798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0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277</v>
      </c>
      <c r="I97" s="339" t="s">
        <v>278</v>
      </c>
      <c r="J97" s="214" t="s">
        <v>93</v>
      </c>
      <c r="K97" s="216"/>
      <c r="L97" s="151" t="s">
        <v>97</v>
      </c>
      <c r="M97" s="151" t="s">
        <v>94</v>
      </c>
      <c r="N97" s="151" t="s">
        <v>97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2015</v>
      </c>
      <c r="D99" s="158">
        <v>0</v>
      </c>
      <c r="E99" s="165">
        <f>IF(OR(D11=I10,D92&lt;100000),0,J$96/12*(12-D94))</f>
        <v>0</v>
      </c>
      <c r="F99" s="163">
        <f>IF(D93=C99,+D92-E99,+D99-E99)</f>
        <v>0</v>
      </c>
      <c r="G99" s="218">
        <f>+(F99+D99)/2</f>
        <v>0</v>
      </c>
      <c r="H99" s="218">
        <f>+J$94*G99+E99</f>
        <v>0</v>
      </c>
      <c r="I99" s="218">
        <f>+J$95*G99+E99</f>
        <v>0</v>
      </c>
      <c r="J99" s="162">
        <f>+I99-H99</f>
        <v>0</v>
      </c>
      <c r="K99" s="162"/>
      <c r="L99" s="334"/>
      <c r="M99" s="161">
        <f t="shared" ref="M99:M130" si="12">IF(L99&lt;&gt;0,+H99-L99,0)</f>
        <v>0</v>
      </c>
      <c r="N99" s="334"/>
      <c r="O99" s="161">
        <f t="shared" ref="O99:O130" si="13">IF(N99&lt;&gt;0,+I99-N99,0)</f>
        <v>0</v>
      </c>
      <c r="P99" s="161">
        <f t="shared" ref="P99:P130" si="14">+O99-M99</f>
        <v>0</v>
      </c>
    </row>
    <row r="100" spans="1:16">
      <c r="B100" s="9" t="str">
        <f>IF(D100=F99,"","IU")</f>
        <v/>
      </c>
      <c r="C100" s="157">
        <f>IF(D93="","-",+C99+1)</f>
        <v>2016</v>
      </c>
      <c r="D100" s="158">
        <f>IF(F99+SUM(E$99:E99)=D$92,F99,D$92-SUM(E$99:E99))</f>
        <v>0</v>
      </c>
      <c r="E100" s="164">
        <f>IF(+J$96&lt;F99,J$96,D100)</f>
        <v>0</v>
      </c>
      <c r="F100" s="163">
        <f>+D100-E100</f>
        <v>0</v>
      </c>
      <c r="G100" s="163">
        <f>+(F100+D100)/2</f>
        <v>0</v>
      </c>
      <c r="H100" s="333">
        <f t="shared" ref="H100:H154" si="15">+J$94*G100+E100</f>
        <v>0</v>
      </c>
      <c r="I100" s="344">
        <f t="shared" ref="I100:I154" si="16">+J$95*G100+E100</f>
        <v>0</v>
      </c>
      <c r="J100" s="162">
        <f t="shared" ref="J100:J130" si="17">+I100-H100</f>
        <v>0</v>
      </c>
      <c r="K100" s="162"/>
      <c r="L100" s="335"/>
      <c r="M100" s="162">
        <f t="shared" si="12"/>
        <v>0</v>
      </c>
      <c r="N100" s="335"/>
      <c r="O100" s="162">
        <f t="shared" si="13"/>
        <v>0</v>
      </c>
      <c r="P100" s="162">
        <f t="shared" si="14"/>
        <v>0</v>
      </c>
    </row>
    <row r="101" spans="1:16">
      <c r="B101" s="9" t="str">
        <f t="shared" ref="B101:B154" si="18">IF(D101=F100,"","IU")</f>
        <v/>
      </c>
      <c r="C101" s="157">
        <f>IF(D93="","-",+C100+1)</f>
        <v>2017</v>
      </c>
      <c r="D101" s="158">
        <f>IF(F100+SUM(E$99:E100)=D$92,F100,D$92-SUM(E$99:E100))</f>
        <v>0</v>
      </c>
      <c r="E101" s="164">
        <f t="shared" ref="E101:E154" si="19">IF(+J$96&lt;F100,J$96,D101)</f>
        <v>0</v>
      </c>
      <c r="F101" s="163">
        <f t="shared" ref="F101:F154" si="20">+D101-E101</f>
        <v>0</v>
      </c>
      <c r="G101" s="163">
        <f t="shared" ref="G101:G154" si="21">+(F101+D101)/2</f>
        <v>0</v>
      </c>
      <c r="H101" s="333">
        <f t="shared" si="15"/>
        <v>0</v>
      </c>
      <c r="I101" s="344">
        <f t="shared" si="16"/>
        <v>0</v>
      </c>
      <c r="J101" s="162">
        <f t="shared" si="17"/>
        <v>0</v>
      </c>
      <c r="K101" s="162"/>
      <c r="L101" s="335"/>
      <c r="M101" s="162">
        <f t="shared" si="12"/>
        <v>0</v>
      </c>
      <c r="N101" s="335"/>
      <c r="O101" s="162">
        <f t="shared" si="13"/>
        <v>0</v>
      </c>
      <c r="P101" s="162">
        <f t="shared" si="14"/>
        <v>0</v>
      </c>
    </row>
    <row r="102" spans="1:16">
      <c r="B102" s="9" t="str">
        <f t="shared" si="18"/>
        <v/>
      </c>
      <c r="C102" s="157">
        <f>IF(D93="","-",+C101+1)</f>
        <v>2018</v>
      </c>
      <c r="D102" s="158">
        <f>IF(F101+SUM(E$99:E101)=D$92,F101,D$92-SUM(E$99:E101))</f>
        <v>0</v>
      </c>
      <c r="E102" s="164">
        <f t="shared" si="19"/>
        <v>0</v>
      </c>
      <c r="F102" s="163">
        <f t="shared" si="20"/>
        <v>0</v>
      </c>
      <c r="G102" s="163">
        <f t="shared" si="21"/>
        <v>0</v>
      </c>
      <c r="H102" s="333">
        <f t="shared" si="15"/>
        <v>0</v>
      </c>
      <c r="I102" s="344">
        <f t="shared" si="16"/>
        <v>0</v>
      </c>
      <c r="J102" s="162">
        <f t="shared" si="17"/>
        <v>0</v>
      </c>
      <c r="K102" s="162"/>
      <c r="L102" s="335"/>
      <c r="M102" s="162">
        <f t="shared" si="12"/>
        <v>0</v>
      </c>
      <c r="N102" s="335"/>
      <c r="O102" s="162">
        <f t="shared" si="13"/>
        <v>0</v>
      </c>
      <c r="P102" s="162">
        <f t="shared" si="14"/>
        <v>0</v>
      </c>
    </row>
    <row r="103" spans="1:16">
      <c r="B103" s="9" t="str">
        <f t="shared" si="18"/>
        <v/>
      </c>
      <c r="C103" s="157">
        <f>IF(D93="","-",+C102+1)</f>
        <v>2019</v>
      </c>
      <c r="D103" s="158">
        <f>IF(F102+SUM(E$99:E102)=D$92,F102,D$92-SUM(E$99:E102))</f>
        <v>0</v>
      </c>
      <c r="E103" s="164">
        <f t="shared" si="19"/>
        <v>0</v>
      </c>
      <c r="F103" s="163">
        <f t="shared" si="20"/>
        <v>0</v>
      </c>
      <c r="G103" s="163">
        <f t="shared" si="21"/>
        <v>0</v>
      </c>
      <c r="H103" s="333">
        <f t="shared" si="15"/>
        <v>0</v>
      </c>
      <c r="I103" s="344">
        <f t="shared" si="16"/>
        <v>0</v>
      </c>
      <c r="J103" s="162">
        <f t="shared" si="17"/>
        <v>0</v>
      </c>
      <c r="K103" s="162"/>
      <c r="L103" s="335"/>
      <c r="M103" s="162">
        <f t="shared" si="12"/>
        <v>0</v>
      </c>
      <c r="N103" s="335"/>
      <c r="O103" s="162">
        <f t="shared" si="13"/>
        <v>0</v>
      </c>
      <c r="P103" s="162">
        <f t="shared" si="14"/>
        <v>0</v>
      </c>
    </row>
    <row r="104" spans="1:16">
      <c r="B104" s="9" t="str">
        <f t="shared" si="18"/>
        <v/>
      </c>
      <c r="C104" s="157">
        <f>IF(D93="","-",+C103+1)</f>
        <v>2020</v>
      </c>
      <c r="D104" s="158">
        <f>IF(F103+SUM(E$99:E103)=D$92,F103,D$92-SUM(E$99:E103))</f>
        <v>0</v>
      </c>
      <c r="E104" s="164">
        <f t="shared" si="19"/>
        <v>0</v>
      </c>
      <c r="F104" s="163">
        <f t="shared" si="20"/>
        <v>0</v>
      </c>
      <c r="G104" s="163">
        <f t="shared" si="21"/>
        <v>0</v>
      </c>
      <c r="H104" s="333">
        <f t="shared" si="15"/>
        <v>0</v>
      </c>
      <c r="I104" s="344">
        <f t="shared" si="16"/>
        <v>0</v>
      </c>
      <c r="J104" s="162">
        <f t="shared" si="17"/>
        <v>0</v>
      </c>
      <c r="K104" s="162"/>
      <c r="L104" s="335"/>
      <c r="M104" s="162">
        <f t="shared" si="12"/>
        <v>0</v>
      </c>
      <c r="N104" s="335"/>
      <c r="O104" s="162">
        <f t="shared" si="13"/>
        <v>0</v>
      </c>
      <c r="P104" s="162">
        <f t="shared" si="14"/>
        <v>0</v>
      </c>
    </row>
    <row r="105" spans="1:16">
      <c r="B105" s="9" t="str">
        <f t="shared" si="18"/>
        <v/>
      </c>
      <c r="C105" s="157">
        <f>IF(D93="","-",+C104+1)</f>
        <v>2021</v>
      </c>
      <c r="D105" s="158">
        <f>IF(F104+SUM(E$99:E104)=D$92,F104,D$92-SUM(E$99:E104))</f>
        <v>0</v>
      </c>
      <c r="E105" s="164">
        <f t="shared" si="19"/>
        <v>0</v>
      </c>
      <c r="F105" s="163">
        <f t="shared" si="20"/>
        <v>0</v>
      </c>
      <c r="G105" s="163">
        <f t="shared" si="21"/>
        <v>0</v>
      </c>
      <c r="H105" s="333">
        <f t="shared" si="15"/>
        <v>0</v>
      </c>
      <c r="I105" s="344">
        <f t="shared" si="16"/>
        <v>0</v>
      </c>
      <c r="J105" s="162">
        <f t="shared" si="17"/>
        <v>0</v>
      </c>
      <c r="K105" s="162"/>
      <c r="L105" s="335"/>
      <c r="M105" s="162">
        <f t="shared" si="12"/>
        <v>0</v>
      </c>
      <c r="N105" s="335"/>
      <c r="O105" s="162">
        <f t="shared" si="13"/>
        <v>0</v>
      </c>
      <c r="P105" s="162">
        <f t="shared" si="14"/>
        <v>0</v>
      </c>
    </row>
    <row r="106" spans="1:16">
      <c r="B106" s="9" t="str">
        <f t="shared" si="18"/>
        <v/>
      </c>
      <c r="C106" s="157">
        <f>IF(D93="","-",+C105+1)</f>
        <v>2022</v>
      </c>
      <c r="D106" s="158">
        <f>IF(F105+SUM(E$99:E105)=D$92,F105,D$92-SUM(E$99:E105))</f>
        <v>0</v>
      </c>
      <c r="E106" s="164">
        <f t="shared" si="19"/>
        <v>0</v>
      </c>
      <c r="F106" s="163">
        <f t="shared" si="20"/>
        <v>0</v>
      </c>
      <c r="G106" s="163">
        <f t="shared" si="21"/>
        <v>0</v>
      </c>
      <c r="H106" s="333">
        <f t="shared" si="15"/>
        <v>0</v>
      </c>
      <c r="I106" s="344">
        <f t="shared" si="16"/>
        <v>0</v>
      </c>
      <c r="J106" s="162">
        <f t="shared" si="17"/>
        <v>0</v>
      </c>
      <c r="K106" s="162"/>
      <c r="L106" s="335"/>
      <c r="M106" s="162">
        <f t="shared" si="12"/>
        <v>0</v>
      </c>
      <c r="N106" s="335"/>
      <c r="O106" s="162">
        <f t="shared" si="13"/>
        <v>0</v>
      </c>
      <c r="P106" s="162">
        <f t="shared" si="14"/>
        <v>0</v>
      </c>
    </row>
    <row r="107" spans="1:16">
      <c r="B107" s="9" t="str">
        <f t="shared" si="18"/>
        <v/>
      </c>
      <c r="C107" s="157">
        <f>IF(D93="","-",+C106+1)</f>
        <v>2023</v>
      </c>
      <c r="D107" s="158">
        <f>IF(F106+SUM(E$99:E106)=D$92,F106,D$92-SUM(E$99:E106))</f>
        <v>0</v>
      </c>
      <c r="E107" s="164">
        <f t="shared" si="19"/>
        <v>0</v>
      </c>
      <c r="F107" s="163">
        <f t="shared" si="20"/>
        <v>0</v>
      </c>
      <c r="G107" s="163">
        <f t="shared" si="21"/>
        <v>0</v>
      </c>
      <c r="H107" s="333">
        <f t="shared" si="15"/>
        <v>0</v>
      </c>
      <c r="I107" s="344">
        <f t="shared" si="16"/>
        <v>0</v>
      </c>
      <c r="J107" s="162">
        <f t="shared" si="17"/>
        <v>0</v>
      </c>
      <c r="K107" s="162"/>
      <c r="L107" s="335"/>
      <c r="M107" s="162">
        <f t="shared" si="12"/>
        <v>0</v>
      </c>
      <c r="N107" s="335"/>
      <c r="O107" s="162">
        <f t="shared" si="13"/>
        <v>0</v>
      </c>
      <c r="P107" s="162">
        <f t="shared" si="14"/>
        <v>0</v>
      </c>
    </row>
    <row r="108" spans="1:16">
      <c r="B108" s="9" t="str">
        <f t="shared" si="18"/>
        <v/>
      </c>
      <c r="C108" s="157">
        <f>IF(D93="","-",+C107+1)</f>
        <v>2024</v>
      </c>
      <c r="D108" s="158">
        <f>IF(F107+SUM(E$99:E107)=D$92,F107,D$92-SUM(E$99:E107))</f>
        <v>0</v>
      </c>
      <c r="E108" s="164">
        <f t="shared" si="19"/>
        <v>0</v>
      </c>
      <c r="F108" s="163">
        <f t="shared" si="20"/>
        <v>0</v>
      </c>
      <c r="G108" s="163">
        <f t="shared" si="21"/>
        <v>0</v>
      </c>
      <c r="H108" s="333">
        <f t="shared" si="15"/>
        <v>0</v>
      </c>
      <c r="I108" s="344">
        <f t="shared" si="16"/>
        <v>0</v>
      </c>
      <c r="J108" s="162">
        <f t="shared" si="17"/>
        <v>0</v>
      </c>
      <c r="K108" s="162"/>
      <c r="L108" s="335"/>
      <c r="M108" s="162">
        <f t="shared" si="12"/>
        <v>0</v>
      </c>
      <c r="N108" s="335"/>
      <c r="O108" s="162">
        <f t="shared" si="13"/>
        <v>0</v>
      </c>
      <c r="P108" s="162">
        <f t="shared" si="14"/>
        <v>0</v>
      </c>
    </row>
    <row r="109" spans="1:16">
      <c r="B109" s="9" t="str">
        <f t="shared" si="18"/>
        <v/>
      </c>
      <c r="C109" s="157">
        <f>IF(D93="","-",+C108+1)</f>
        <v>2025</v>
      </c>
      <c r="D109" s="158">
        <f>IF(F108+SUM(E$99:E108)=D$92,F108,D$92-SUM(E$99:E108))</f>
        <v>0</v>
      </c>
      <c r="E109" s="164">
        <f t="shared" si="19"/>
        <v>0</v>
      </c>
      <c r="F109" s="163">
        <f t="shared" si="20"/>
        <v>0</v>
      </c>
      <c r="G109" s="163">
        <f t="shared" si="21"/>
        <v>0</v>
      </c>
      <c r="H109" s="333">
        <f t="shared" si="15"/>
        <v>0</v>
      </c>
      <c r="I109" s="344">
        <f t="shared" si="16"/>
        <v>0</v>
      </c>
      <c r="J109" s="162">
        <f t="shared" si="17"/>
        <v>0</v>
      </c>
      <c r="K109" s="162"/>
      <c r="L109" s="335"/>
      <c r="M109" s="162">
        <f t="shared" si="12"/>
        <v>0</v>
      </c>
      <c r="N109" s="335"/>
      <c r="O109" s="162">
        <f t="shared" si="13"/>
        <v>0</v>
      </c>
      <c r="P109" s="162">
        <f t="shared" si="14"/>
        <v>0</v>
      </c>
    </row>
    <row r="110" spans="1:16">
      <c r="B110" s="9" t="str">
        <f t="shared" si="18"/>
        <v/>
      </c>
      <c r="C110" s="157">
        <f>IF(D93="","-",+C109+1)</f>
        <v>2026</v>
      </c>
      <c r="D110" s="158">
        <f>IF(F109+SUM(E$99:E109)=D$92,F109,D$92-SUM(E$99:E109))</f>
        <v>0</v>
      </c>
      <c r="E110" s="164">
        <f t="shared" si="19"/>
        <v>0</v>
      </c>
      <c r="F110" s="163">
        <f t="shared" si="20"/>
        <v>0</v>
      </c>
      <c r="G110" s="163">
        <f t="shared" si="21"/>
        <v>0</v>
      </c>
      <c r="H110" s="333">
        <f t="shared" si="15"/>
        <v>0</v>
      </c>
      <c r="I110" s="344">
        <f t="shared" si="16"/>
        <v>0</v>
      </c>
      <c r="J110" s="162">
        <f t="shared" si="17"/>
        <v>0</v>
      </c>
      <c r="K110" s="162"/>
      <c r="L110" s="335"/>
      <c r="M110" s="162">
        <f t="shared" si="12"/>
        <v>0</v>
      </c>
      <c r="N110" s="335"/>
      <c r="O110" s="162">
        <f t="shared" si="13"/>
        <v>0</v>
      </c>
      <c r="P110" s="162">
        <f t="shared" si="14"/>
        <v>0</v>
      </c>
    </row>
    <row r="111" spans="1:16">
      <c r="B111" s="9" t="str">
        <f t="shared" si="18"/>
        <v/>
      </c>
      <c r="C111" s="157">
        <f>IF(D93="","-",+C110+1)</f>
        <v>2027</v>
      </c>
      <c r="D111" s="158">
        <f>IF(F110+SUM(E$99:E110)=D$92,F110,D$92-SUM(E$99:E110))</f>
        <v>0</v>
      </c>
      <c r="E111" s="164">
        <f t="shared" si="19"/>
        <v>0</v>
      </c>
      <c r="F111" s="163">
        <f t="shared" si="20"/>
        <v>0</v>
      </c>
      <c r="G111" s="163">
        <f t="shared" si="21"/>
        <v>0</v>
      </c>
      <c r="H111" s="333">
        <f t="shared" si="15"/>
        <v>0</v>
      </c>
      <c r="I111" s="344">
        <f t="shared" si="16"/>
        <v>0</v>
      </c>
      <c r="J111" s="162">
        <f t="shared" si="17"/>
        <v>0</v>
      </c>
      <c r="K111" s="162"/>
      <c r="L111" s="335"/>
      <c r="M111" s="162">
        <f t="shared" si="12"/>
        <v>0</v>
      </c>
      <c r="N111" s="335"/>
      <c r="O111" s="162">
        <f t="shared" si="13"/>
        <v>0</v>
      </c>
      <c r="P111" s="162">
        <f t="shared" si="14"/>
        <v>0</v>
      </c>
    </row>
    <row r="112" spans="1:16">
      <c r="B112" s="9" t="str">
        <f t="shared" si="18"/>
        <v/>
      </c>
      <c r="C112" s="157">
        <f>IF(D93="","-",+C111+1)</f>
        <v>2028</v>
      </c>
      <c r="D112" s="158">
        <f>IF(F111+SUM(E$99:E111)=D$92,F111,D$92-SUM(E$99:E111))</f>
        <v>0</v>
      </c>
      <c r="E112" s="164">
        <f t="shared" si="19"/>
        <v>0</v>
      </c>
      <c r="F112" s="163">
        <f t="shared" si="20"/>
        <v>0</v>
      </c>
      <c r="G112" s="163">
        <f t="shared" si="21"/>
        <v>0</v>
      </c>
      <c r="H112" s="333">
        <f t="shared" si="15"/>
        <v>0</v>
      </c>
      <c r="I112" s="344">
        <f t="shared" si="16"/>
        <v>0</v>
      </c>
      <c r="J112" s="162">
        <f t="shared" si="17"/>
        <v>0</v>
      </c>
      <c r="K112" s="162"/>
      <c r="L112" s="335"/>
      <c r="M112" s="162">
        <f t="shared" si="12"/>
        <v>0</v>
      </c>
      <c r="N112" s="335"/>
      <c r="O112" s="162">
        <f t="shared" si="13"/>
        <v>0</v>
      </c>
      <c r="P112" s="162">
        <f t="shared" si="14"/>
        <v>0</v>
      </c>
    </row>
    <row r="113" spans="2:16">
      <c r="B113" s="9" t="str">
        <f t="shared" si="18"/>
        <v/>
      </c>
      <c r="C113" s="157">
        <f>IF(D93="","-",+C112+1)</f>
        <v>2029</v>
      </c>
      <c r="D113" s="158">
        <f>IF(F112+SUM(E$99:E112)=D$92,F112,D$92-SUM(E$99:E112))</f>
        <v>0</v>
      </c>
      <c r="E113" s="164">
        <f t="shared" si="19"/>
        <v>0</v>
      </c>
      <c r="F113" s="163">
        <f t="shared" si="20"/>
        <v>0</v>
      </c>
      <c r="G113" s="163">
        <f t="shared" si="21"/>
        <v>0</v>
      </c>
      <c r="H113" s="333">
        <f t="shared" si="15"/>
        <v>0</v>
      </c>
      <c r="I113" s="344">
        <f t="shared" si="16"/>
        <v>0</v>
      </c>
      <c r="J113" s="162">
        <f t="shared" si="17"/>
        <v>0</v>
      </c>
      <c r="K113" s="162"/>
      <c r="L113" s="335"/>
      <c r="M113" s="162">
        <f t="shared" si="12"/>
        <v>0</v>
      </c>
      <c r="N113" s="335"/>
      <c r="O113" s="162">
        <f t="shared" si="13"/>
        <v>0</v>
      </c>
      <c r="P113" s="162">
        <f t="shared" si="14"/>
        <v>0</v>
      </c>
    </row>
    <row r="114" spans="2:16">
      <c r="B114" s="9" t="str">
        <f t="shared" si="18"/>
        <v/>
      </c>
      <c r="C114" s="157">
        <f>IF(D93="","-",+C113+1)</f>
        <v>2030</v>
      </c>
      <c r="D114" s="158">
        <f>IF(F113+SUM(E$99:E113)=D$92,F113,D$92-SUM(E$99:E113))</f>
        <v>0</v>
      </c>
      <c r="E114" s="164">
        <f t="shared" si="19"/>
        <v>0</v>
      </c>
      <c r="F114" s="163">
        <f t="shared" si="20"/>
        <v>0</v>
      </c>
      <c r="G114" s="163">
        <f t="shared" si="21"/>
        <v>0</v>
      </c>
      <c r="H114" s="333">
        <f t="shared" si="15"/>
        <v>0</v>
      </c>
      <c r="I114" s="344">
        <f t="shared" si="16"/>
        <v>0</v>
      </c>
      <c r="J114" s="162">
        <f t="shared" si="17"/>
        <v>0</v>
      </c>
      <c r="K114" s="162"/>
      <c r="L114" s="335"/>
      <c r="M114" s="162">
        <f t="shared" si="12"/>
        <v>0</v>
      </c>
      <c r="N114" s="335"/>
      <c r="O114" s="162">
        <f t="shared" si="13"/>
        <v>0</v>
      </c>
      <c r="P114" s="162">
        <f t="shared" si="14"/>
        <v>0</v>
      </c>
    </row>
    <row r="115" spans="2:16">
      <c r="B115" s="9" t="str">
        <f t="shared" si="18"/>
        <v/>
      </c>
      <c r="C115" s="157">
        <f>IF(D93="","-",+C114+1)</f>
        <v>2031</v>
      </c>
      <c r="D115" s="158">
        <f>IF(F114+SUM(E$99:E114)=D$92,F114,D$92-SUM(E$99:E114))</f>
        <v>0</v>
      </c>
      <c r="E115" s="164">
        <f t="shared" si="19"/>
        <v>0</v>
      </c>
      <c r="F115" s="163">
        <f t="shared" si="20"/>
        <v>0</v>
      </c>
      <c r="G115" s="163">
        <f t="shared" si="21"/>
        <v>0</v>
      </c>
      <c r="H115" s="333">
        <f t="shared" si="15"/>
        <v>0</v>
      </c>
      <c r="I115" s="344">
        <f t="shared" si="16"/>
        <v>0</v>
      </c>
      <c r="J115" s="162">
        <f t="shared" si="17"/>
        <v>0</v>
      </c>
      <c r="K115" s="162"/>
      <c r="L115" s="335"/>
      <c r="M115" s="162">
        <f t="shared" si="12"/>
        <v>0</v>
      </c>
      <c r="N115" s="335"/>
      <c r="O115" s="162">
        <f t="shared" si="13"/>
        <v>0</v>
      </c>
      <c r="P115" s="162">
        <f t="shared" si="14"/>
        <v>0</v>
      </c>
    </row>
    <row r="116" spans="2:16">
      <c r="B116" s="9" t="str">
        <f t="shared" si="18"/>
        <v/>
      </c>
      <c r="C116" s="157">
        <f>IF(D93="","-",+C115+1)</f>
        <v>2032</v>
      </c>
      <c r="D116" s="158">
        <f>IF(F115+SUM(E$99:E115)=D$92,F115,D$92-SUM(E$99:E115))</f>
        <v>0</v>
      </c>
      <c r="E116" s="164">
        <f t="shared" si="19"/>
        <v>0</v>
      </c>
      <c r="F116" s="163">
        <f t="shared" si="20"/>
        <v>0</v>
      </c>
      <c r="G116" s="163">
        <f t="shared" si="21"/>
        <v>0</v>
      </c>
      <c r="H116" s="333">
        <f t="shared" si="15"/>
        <v>0</v>
      </c>
      <c r="I116" s="344">
        <f t="shared" si="16"/>
        <v>0</v>
      </c>
      <c r="J116" s="162">
        <f t="shared" si="17"/>
        <v>0</v>
      </c>
      <c r="K116" s="162"/>
      <c r="L116" s="335"/>
      <c r="M116" s="162">
        <f t="shared" si="12"/>
        <v>0</v>
      </c>
      <c r="N116" s="335"/>
      <c r="O116" s="162">
        <f t="shared" si="13"/>
        <v>0</v>
      </c>
      <c r="P116" s="162">
        <f t="shared" si="14"/>
        <v>0</v>
      </c>
    </row>
    <row r="117" spans="2:16">
      <c r="B117" s="9" t="str">
        <f t="shared" si="18"/>
        <v/>
      </c>
      <c r="C117" s="157">
        <f>IF(D93="","-",+C116+1)</f>
        <v>2033</v>
      </c>
      <c r="D117" s="158">
        <f>IF(F116+SUM(E$99:E116)=D$92,F116,D$92-SUM(E$99:E116))</f>
        <v>0</v>
      </c>
      <c r="E117" s="164">
        <f t="shared" si="19"/>
        <v>0</v>
      </c>
      <c r="F117" s="163">
        <f t="shared" si="20"/>
        <v>0</v>
      </c>
      <c r="G117" s="163">
        <f t="shared" si="21"/>
        <v>0</v>
      </c>
      <c r="H117" s="333">
        <f t="shared" si="15"/>
        <v>0</v>
      </c>
      <c r="I117" s="344">
        <f t="shared" si="16"/>
        <v>0</v>
      </c>
      <c r="J117" s="162">
        <f t="shared" si="17"/>
        <v>0</v>
      </c>
      <c r="K117" s="162"/>
      <c r="L117" s="335"/>
      <c r="M117" s="162">
        <f t="shared" si="12"/>
        <v>0</v>
      </c>
      <c r="N117" s="335"/>
      <c r="O117" s="162">
        <f t="shared" si="13"/>
        <v>0</v>
      </c>
      <c r="P117" s="162">
        <f t="shared" si="14"/>
        <v>0</v>
      </c>
    </row>
    <row r="118" spans="2:16">
      <c r="B118" s="9" t="str">
        <f t="shared" si="18"/>
        <v/>
      </c>
      <c r="C118" s="157">
        <f>IF(D93="","-",+C117+1)</f>
        <v>2034</v>
      </c>
      <c r="D118" s="158">
        <f>IF(F117+SUM(E$99:E117)=D$92,F117,D$92-SUM(E$99:E117))</f>
        <v>0</v>
      </c>
      <c r="E118" s="164">
        <f t="shared" si="19"/>
        <v>0</v>
      </c>
      <c r="F118" s="163">
        <f t="shared" si="20"/>
        <v>0</v>
      </c>
      <c r="G118" s="163">
        <f t="shared" si="21"/>
        <v>0</v>
      </c>
      <c r="H118" s="333">
        <f t="shared" si="15"/>
        <v>0</v>
      </c>
      <c r="I118" s="344">
        <f t="shared" si="16"/>
        <v>0</v>
      </c>
      <c r="J118" s="162">
        <f t="shared" si="17"/>
        <v>0</v>
      </c>
      <c r="K118" s="162"/>
      <c r="L118" s="335"/>
      <c r="M118" s="162">
        <f t="shared" si="12"/>
        <v>0</v>
      </c>
      <c r="N118" s="335"/>
      <c r="O118" s="162">
        <f t="shared" si="13"/>
        <v>0</v>
      </c>
      <c r="P118" s="162">
        <f t="shared" si="14"/>
        <v>0</v>
      </c>
    </row>
    <row r="119" spans="2:16">
      <c r="B119" s="9" t="str">
        <f t="shared" si="18"/>
        <v/>
      </c>
      <c r="C119" s="157">
        <f>IF(D93="","-",+C118+1)</f>
        <v>2035</v>
      </c>
      <c r="D119" s="158">
        <f>IF(F118+SUM(E$99:E118)=D$92,F118,D$92-SUM(E$99:E118))</f>
        <v>0</v>
      </c>
      <c r="E119" s="164">
        <f t="shared" si="19"/>
        <v>0</v>
      </c>
      <c r="F119" s="163">
        <f t="shared" si="20"/>
        <v>0</v>
      </c>
      <c r="G119" s="163">
        <f t="shared" si="21"/>
        <v>0</v>
      </c>
      <c r="H119" s="333">
        <f t="shared" si="15"/>
        <v>0</v>
      </c>
      <c r="I119" s="344">
        <f t="shared" si="16"/>
        <v>0</v>
      </c>
      <c r="J119" s="162">
        <f t="shared" si="17"/>
        <v>0</v>
      </c>
      <c r="K119" s="162"/>
      <c r="L119" s="335"/>
      <c r="M119" s="162">
        <f t="shared" si="12"/>
        <v>0</v>
      </c>
      <c r="N119" s="335"/>
      <c r="O119" s="162">
        <f t="shared" si="13"/>
        <v>0</v>
      </c>
      <c r="P119" s="162">
        <f t="shared" si="14"/>
        <v>0</v>
      </c>
    </row>
    <row r="120" spans="2:16">
      <c r="B120" s="9" t="str">
        <f t="shared" si="18"/>
        <v/>
      </c>
      <c r="C120" s="157">
        <f>IF(D93="","-",+C119+1)</f>
        <v>2036</v>
      </c>
      <c r="D120" s="158">
        <f>IF(F119+SUM(E$99:E119)=D$92,F119,D$92-SUM(E$99:E119))</f>
        <v>0</v>
      </c>
      <c r="E120" s="164">
        <f t="shared" si="19"/>
        <v>0</v>
      </c>
      <c r="F120" s="163">
        <f t="shared" si="20"/>
        <v>0</v>
      </c>
      <c r="G120" s="163">
        <f t="shared" si="21"/>
        <v>0</v>
      </c>
      <c r="H120" s="333">
        <f t="shared" si="15"/>
        <v>0</v>
      </c>
      <c r="I120" s="344">
        <f t="shared" si="16"/>
        <v>0</v>
      </c>
      <c r="J120" s="162">
        <f t="shared" si="17"/>
        <v>0</v>
      </c>
      <c r="K120" s="162"/>
      <c r="L120" s="335"/>
      <c r="M120" s="162">
        <f t="shared" si="12"/>
        <v>0</v>
      </c>
      <c r="N120" s="335"/>
      <c r="O120" s="162">
        <f t="shared" si="13"/>
        <v>0</v>
      </c>
      <c r="P120" s="162">
        <f t="shared" si="14"/>
        <v>0</v>
      </c>
    </row>
    <row r="121" spans="2:16">
      <c r="B121" s="9" t="str">
        <f t="shared" si="18"/>
        <v/>
      </c>
      <c r="C121" s="157">
        <f>IF(D93="","-",+C120+1)</f>
        <v>2037</v>
      </c>
      <c r="D121" s="158">
        <f>IF(F120+SUM(E$99:E120)=D$92,F120,D$92-SUM(E$99:E120))</f>
        <v>0</v>
      </c>
      <c r="E121" s="164">
        <f t="shared" si="19"/>
        <v>0</v>
      </c>
      <c r="F121" s="163">
        <f t="shared" si="20"/>
        <v>0</v>
      </c>
      <c r="G121" s="163">
        <f t="shared" si="21"/>
        <v>0</v>
      </c>
      <c r="H121" s="333">
        <f t="shared" si="15"/>
        <v>0</v>
      </c>
      <c r="I121" s="344">
        <f t="shared" si="16"/>
        <v>0</v>
      </c>
      <c r="J121" s="162">
        <f t="shared" si="17"/>
        <v>0</v>
      </c>
      <c r="K121" s="162"/>
      <c r="L121" s="335"/>
      <c r="M121" s="162">
        <f t="shared" si="12"/>
        <v>0</v>
      </c>
      <c r="N121" s="335"/>
      <c r="O121" s="162">
        <f t="shared" si="13"/>
        <v>0</v>
      </c>
      <c r="P121" s="162">
        <f t="shared" si="14"/>
        <v>0</v>
      </c>
    </row>
    <row r="122" spans="2:16">
      <c r="B122" s="9" t="str">
        <f t="shared" si="18"/>
        <v/>
      </c>
      <c r="C122" s="157">
        <f>IF(D93="","-",+C121+1)</f>
        <v>2038</v>
      </c>
      <c r="D122" s="158">
        <f>IF(F121+SUM(E$99:E121)=D$92,F121,D$92-SUM(E$99:E121))</f>
        <v>0</v>
      </c>
      <c r="E122" s="164">
        <f t="shared" si="19"/>
        <v>0</v>
      </c>
      <c r="F122" s="163">
        <f t="shared" si="20"/>
        <v>0</v>
      </c>
      <c r="G122" s="163">
        <f t="shared" si="21"/>
        <v>0</v>
      </c>
      <c r="H122" s="333">
        <f t="shared" si="15"/>
        <v>0</v>
      </c>
      <c r="I122" s="344">
        <f t="shared" si="16"/>
        <v>0</v>
      </c>
      <c r="J122" s="162">
        <f t="shared" si="17"/>
        <v>0</v>
      </c>
      <c r="K122" s="162"/>
      <c r="L122" s="335"/>
      <c r="M122" s="162">
        <f t="shared" si="12"/>
        <v>0</v>
      </c>
      <c r="N122" s="335"/>
      <c r="O122" s="162">
        <f t="shared" si="13"/>
        <v>0</v>
      </c>
      <c r="P122" s="162">
        <f t="shared" si="14"/>
        <v>0</v>
      </c>
    </row>
    <row r="123" spans="2:16">
      <c r="B123" s="9" t="str">
        <f t="shared" si="18"/>
        <v/>
      </c>
      <c r="C123" s="157">
        <f>IF(D93="","-",+C122+1)</f>
        <v>2039</v>
      </c>
      <c r="D123" s="158">
        <f>IF(F122+SUM(E$99:E122)=D$92,F122,D$92-SUM(E$99:E122))</f>
        <v>0</v>
      </c>
      <c r="E123" s="164">
        <f t="shared" si="19"/>
        <v>0</v>
      </c>
      <c r="F123" s="163">
        <f t="shared" si="20"/>
        <v>0</v>
      </c>
      <c r="G123" s="163">
        <f t="shared" si="21"/>
        <v>0</v>
      </c>
      <c r="H123" s="333">
        <f t="shared" si="15"/>
        <v>0</v>
      </c>
      <c r="I123" s="344">
        <f t="shared" si="16"/>
        <v>0</v>
      </c>
      <c r="J123" s="162">
        <f t="shared" si="17"/>
        <v>0</v>
      </c>
      <c r="K123" s="162"/>
      <c r="L123" s="335"/>
      <c r="M123" s="162">
        <f t="shared" si="12"/>
        <v>0</v>
      </c>
      <c r="N123" s="335"/>
      <c r="O123" s="162">
        <f t="shared" si="13"/>
        <v>0</v>
      </c>
      <c r="P123" s="162">
        <f t="shared" si="14"/>
        <v>0</v>
      </c>
    </row>
    <row r="124" spans="2:16">
      <c r="B124" s="9" t="str">
        <f t="shared" si="18"/>
        <v/>
      </c>
      <c r="C124" s="157">
        <f>IF(D93="","-",+C123+1)</f>
        <v>2040</v>
      </c>
      <c r="D124" s="158">
        <f>IF(F123+SUM(E$99:E123)=D$92,F123,D$92-SUM(E$99:E123))</f>
        <v>0</v>
      </c>
      <c r="E124" s="164">
        <f t="shared" si="19"/>
        <v>0</v>
      </c>
      <c r="F124" s="163">
        <f t="shared" si="20"/>
        <v>0</v>
      </c>
      <c r="G124" s="163">
        <f t="shared" si="21"/>
        <v>0</v>
      </c>
      <c r="H124" s="333">
        <f t="shared" si="15"/>
        <v>0</v>
      </c>
      <c r="I124" s="344">
        <f t="shared" si="16"/>
        <v>0</v>
      </c>
      <c r="J124" s="162">
        <f t="shared" si="17"/>
        <v>0</v>
      </c>
      <c r="K124" s="162"/>
      <c r="L124" s="335"/>
      <c r="M124" s="162">
        <f t="shared" si="12"/>
        <v>0</v>
      </c>
      <c r="N124" s="335"/>
      <c r="O124" s="162">
        <f t="shared" si="13"/>
        <v>0</v>
      </c>
      <c r="P124" s="162">
        <f t="shared" si="14"/>
        <v>0</v>
      </c>
    </row>
    <row r="125" spans="2:16">
      <c r="B125" s="9" t="str">
        <f t="shared" si="18"/>
        <v/>
      </c>
      <c r="C125" s="157">
        <f>IF(D93="","-",+C124+1)</f>
        <v>2041</v>
      </c>
      <c r="D125" s="158">
        <f>IF(F124+SUM(E$99:E124)=D$92,F124,D$92-SUM(E$99:E124))</f>
        <v>0</v>
      </c>
      <c r="E125" s="164">
        <f t="shared" si="19"/>
        <v>0</v>
      </c>
      <c r="F125" s="163">
        <f t="shared" si="20"/>
        <v>0</v>
      </c>
      <c r="G125" s="163">
        <f t="shared" si="21"/>
        <v>0</v>
      </c>
      <c r="H125" s="333">
        <f t="shared" si="15"/>
        <v>0</v>
      </c>
      <c r="I125" s="344">
        <f t="shared" si="16"/>
        <v>0</v>
      </c>
      <c r="J125" s="162">
        <f t="shared" si="17"/>
        <v>0</v>
      </c>
      <c r="K125" s="162"/>
      <c r="L125" s="335"/>
      <c r="M125" s="162">
        <f t="shared" si="12"/>
        <v>0</v>
      </c>
      <c r="N125" s="335"/>
      <c r="O125" s="162">
        <f t="shared" si="13"/>
        <v>0</v>
      </c>
      <c r="P125" s="162">
        <f t="shared" si="14"/>
        <v>0</v>
      </c>
    </row>
    <row r="126" spans="2:16">
      <c r="B126" s="9" t="str">
        <f t="shared" si="18"/>
        <v/>
      </c>
      <c r="C126" s="157">
        <f>IF(D93="","-",+C125+1)</f>
        <v>2042</v>
      </c>
      <c r="D126" s="158">
        <f>IF(F125+SUM(E$99:E125)=D$92,F125,D$92-SUM(E$99:E125))</f>
        <v>0</v>
      </c>
      <c r="E126" s="164">
        <f t="shared" si="19"/>
        <v>0</v>
      </c>
      <c r="F126" s="163">
        <f t="shared" si="20"/>
        <v>0</v>
      </c>
      <c r="G126" s="163">
        <f t="shared" si="21"/>
        <v>0</v>
      </c>
      <c r="H126" s="333">
        <f t="shared" si="15"/>
        <v>0</v>
      </c>
      <c r="I126" s="344">
        <f t="shared" si="16"/>
        <v>0</v>
      </c>
      <c r="J126" s="162">
        <f t="shared" si="17"/>
        <v>0</v>
      </c>
      <c r="K126" s="162"/>
      <c r="L126" s="335"/>
      <c r="M126" s="162">
        <f t="shared" si="12"/>
        <v>0</v>
      </c>
      <c r="N126" s="335"/>
      <c r="O126" s="162">
        <f t="shared" si="13"/>
        <v>0</v>
      </c>
      <c r="P126" s="162">
        <f t="shared" si="14"/>
        <v>0</v>
      </c>
    </row>
    <row r="127" spans="2:16">
      <c r="B127" s="9" t="str">
        <f t="shared" si="18"/>
        <v/>
      </c>
      <c r="C127" s="157">
        <f>IF(D93="","-",+C126+1)</f>
        <v>2043</v>
      </c>
      <c r="D127" s="158">
        <f>IF(F126+SUM(E$99:E126)=D$92,F126,D$92-SUM(E$99:E126))</f>
        <v>0</v>
      </c>
      <c r="E127" s="164">
        <f t="shared" si="19"/>
        <v>0</v>
      </c>
      <c r="F127" s="163">
        <f t="shared" si="20"/>
        <v>0</v>
      </c>
      <c r="G127" s="163">
        <f t="shared" si="21"/>
        <v>0</v>
      </c>
      <c r="H127" s="333">
        <f t="shared" si="15"/>
        <v>0</v>
      </c>
      <c r="I127" s="344">
        <f t="shared" si="16"/>
        <v>0</v>
      </c>
      <c r="J127" s="162">
        <f t="shared" si="17"/>
        <v>0</v>
      </c>
      <c r="K127" s="162"/>
      <c r="L127" s="335"/>
      <c r="M127" s="162">
        <f t="shared" si="12"/>
        <v>0</v>
      </c>
      <c r="N127" s="335"/>
      <c r="O127" s="162">
        <f t="shared" si="13"/>
        <v>0</v>
      </c>
      <c r="P127" s="162">
        <f t="shared" si="14"/>
        <v>0</v>
      </c>
    </row>
    <row r="128" spans="2:16">
      <c r="B128" s="9" t="str">
        <f t="shared" si="18"/>
        <v/>
      </c>
      <c r="C128" s="157">
        <f>IF(D93="","-",+C127+1)</f>
        <v>2044</v>
      </c>
      <c r="D128" s="158">
        <f>IF(F127+SUM(E$99:E127)=D$92,F127,D$92-SUM(E$99:E127))</f>
        <v>0</v>
      </c>
      <c r="E128" s="164">
        <f t="shared" si="19"/>
        <v>0</v>
      </c>
      <c r="F128" s="163">
        <f t="shared" si="20"/>
        <v>0</v>
      </c>
      <c r="G128" s="163">
        <f t="shared" si="21"/>
        <v>0</v>
      </c>
      <c r="H128" s="333">
        <f t="shared" si="15"/>
        <v>0</v>
      </c>
      <c r="I128" s="344">
        <f t="shared" si="16"/>
        <v>0</v>
      </c>
      <c r="J128" s="162">
        <f t="shared" si="17"/>
        <v>0</v>
      </c>
      <c r="K128" s="162"/>
      <c r="L128" s="335"/>
      <c r="M128" s="162">
        <f t="shared" si="12"/>
        <v>0</v>
      </c>
      <c r="N128" s="335"/>
      <c r="O128" s="162">
        <f t="shared" si="13"/>
        <v>0</v>
      </c>
      <c r="P128" s="162">
        <f t="shared" si="14"/>
        <v>0</v>
      </c>
    </row>
    <row r="129" spans="2:16">
      <c r="B129" s="9" t="str">
        <f t="shared" si="18"/>
        <v/>
      </c>
      <c r="C129" s="157">
        <f>IF(D93="","-",+C128+1)</f>
        <v>2045</v>
      </c>
      <c r="D129" s="158">
        <f>IF(F128+SUM(E$99:E128)=D$92,F128,D$92-SUM(E$99:E128))</f>
        <v>0</v>
      </c>
      <c r="E129" s="164">
        <f t="shared" si="19"/>
        <v>0</v>
      </c>
      <c r="F129" s="163">
        <f t="shared" si="20"/>
        <v>0</v>
      </c>
      <c r="G129" s="163">
        <f t="shared" si="21"/>
        <v>0</v>
      </c>
      <c r="H129" s="333">
        <f t="shared" si="15"/>
        <v>0</v>
      </c>
      <c r="I129" s="344">
        <f t="shared" si="16"/>
        <v>0</v>
      </c>
      <c r="J129" s="162">
        <f t="shared" si="17"/>
        <v>0</v>
      </c>
      <c r="K129" s="162"/>
      <c r="L129" s="335"/>
      <c r="M129" s="162">
        <f t="shared" si="12"/>
        <v>0</v>
      </c>
      <c r="N129" s="335"/>
      <c r="O129" s="162">
        <f t="shared" si="13"/>
        <v>0</v>
      </c>
      <c r="P129" s="162">
        <f t="shared" si="14"/>
        <v>0</v>
      </c>
    </row>
    <row r="130" spans="2:16">
      <c r="B130" s="9" t="str">
        <f t="shared" si="18"/>
        <v/>
      </c>
      <c r="C130" s="157">
        <f>IF(D93="","-",+C129+1)</f>
        <v>2046</v>
      </c>
      <c r="D130" s="158">
        <f>IF(F129+SUM(E$99:E129)=D$92,F129,D$92-SUM(E$99:E129))</f>
        <v>0</v>
      </c>
      <c r="E130" s="164">
        <f t="shared" si="19"/>
        <v>0</v>
      </c>
      <c r="F130" s="163">
        <f t="shared" si="20"/>
        <v>0</v>
      </c>
      <c r="G130" s="163">
        <f t="shared" si="21"/>
        <v>0</v>
      </c>
      <c r="H130" s="333">
        <f t="shared" si="15"/>
        <v>0</v>
      </c>
      <c r="I130" s="344">
        <f t="shared" si="16"/>
        <v>0</v>
      </c>
      <c r="J130" s="162">
        <f t="shared" si="17"/>
        <v>0</v>
      </c>
      <c r="K130" s="162"/>
      <c r="L130" s="335"/>
      <c r="M130" s="162">
        <f t="shared" si="12"/>
        <v>0</v>
      </c>
      <c r="N130" s="335"/>
      <c r="O130" s="162">
        <f t="shared" si="13"/>
        <v>0</v>
      </c>
      <c r="P130" s="162">
        <f t="shared" si="14"/>
        <v>0</v>
      </c>
    </row>
    <row r="131" spans="2:16">
      <c r="B131" s="9" t="str">
        <f t="shared" si="18"/>
        <v/>
      </c>
      <c r="C131" s="157">
        <f>IF(D93="","-",+C130+1)</f>
        <v>2047</v>
      </c>
      <c r="D131" s="158">
        <f>IF(F130+SUM(E$99:E130)=D$92,F130,D$92-SUM(E$99:E130))</f>
        <v>0</v>
      </c>
      <c r="E131" s="164">
        <f t="shared" si="19"/>
        <v>0</v>
      </c>
      <c r="F131" s="163">
        <f t="shared" si="20"/>
        <v>0</v>
      </c>
      <c r="G131" s="163">
        <f t="shared" si="21"/>
        <v>0</v>
      </c>
      <c r="H131" s="333">
        <f t="shared" si="15"/>
        <v>0</v>
      </c>
      <c r="I131" s="344">
        <f t="shared" si="16"/>
        <v>0</v>
      </c>
      <c r="J131" s="162">
        <f t="shared" ref="J131:J154" si="22">+I541-H541</f>
        <v>0</v>
      </c>
      <c r="K131" s="162"/>
      <c r="L131" s="335"/>
      <c r="M131" s="162">
        <f t="shared" ref="M131:M154" si="23">IF(L541&lt;&gt;0,+H541-L541,0)</f>
        <v>0</v>
      </c>
      <c r="N131" s="335"/>
      <c r="O131" s="162">
        <f t="shared" ref="O131:O154" si="24">IF(N541&lt;&gt;0,+I541-N541,0)</f>
        <v>0</v>
      </c>
      <c r="P131" s="162">
        <f t="shared" ref="P131:P154" si="25">+O541-M541</f>
        <v>0</v>
      </c>
    </row>
    <row r="132" spans="2:16">
      <c r="B132" s="9" t="str">
        <f t="shared" si="18"/>
        <v/>
      </c>
      <c r="C132" s="157">
        <f>IF(D93="","-",+C131+1)</f>
        <v>2048</v>
      </c>
      <c r="D132" s="158">
        <f>IF(F131+SUM(E$99:E131)=D$92,F131,D$92-SUM(E$99:E131))</f>
        <v>0</v>
      </c>
      <c r="E132" s="164">
        <f t="shared" si="19"/>
        <v>0</v>
      </c>
      <c r="F132" s="163">
        <f t="shared" si="20"/>
        <v>0</v>
      </c>
      <c r="G132" s="163">
        <f t="shared" si="21"/>
        <v>0</v>
      </c>
      <c r="H132" s="333">
        <f t="shared" si="15"/>
        <v>0</v>
      </c>
      <c r="I132" s="344">
        <f t="shared" si="16"/>
        <v>0</v>
      </c>
      <c r="J132" s="162">
        <f t="shared" si="22"/>
        <v>0</v>
      </c>
      <c r="K132" s="162"/>
      <c r="L132" s="335"/>
      <c r="M132" s="162">
        <f t="shared" si="23"/>
        <v>0</v>
      </c>
      <c r="N132" s="335"/>
      <c r="O132" s="162">
        <f t="shared" si="24"/>
        <v>0</v>
      </c>
      <c r="P132" s="162">
        <f t="shared" si="25"/>
        <v>0</v>
      </c>
    </row>
    <row r="133" spans="2:16">
      <c r="B133" s="9" t="str">
        <f t="shared" si="18"/>
        <v/>
      </c>
      <c r="C133" s="157">
        <f>IF(D93="","-",+C132+1)</f>
        <v>2049</v>
      </c>
      <c r="D133" s="158">
        <f>IF(F132+SUM(E$99:E132)=D$92,F132,D$92-SUM(E$99:E132))</f>
        <v>0</v>
      </c>
      <c r="E133" s="164">
        <f t="shared" si="19"/>
        <v>0</v>
      </c>
      <c r="F133" s="163">
        <f t="shared" si="20"/>
        <v>0</v>
      </c>
      <c r="G133" s="163">
        <f t="shared" si="21"/>
        <v>0</v>
      </c>
      <c r="H133" s="333">
        <f t="shared" si="15"/>
        <v>0</v>
      </c>
      <c r="I133" s="344">
        <f t="shared" si="16"/>
        <v>0</v>
      </c>
      <c r="J133" s="162">
        <f t="shared" si="22"/>
        <v>0</v>
      </c>
      <c r="K133" s="162"/>
      <c r="L133" s="335"/>
      <c r="M133" s="162">
        <f t="shared" si="23"/>
        <v>0</v>
      </c>
      <c r="N133" s="335"/>
      <c r="O133" s="162">
        <f t="shared" si="24"/>
        <v>0</v>
      </c>
      <c r="P133" s="162">
        <f t="shared" si="25"/>
        <v>0</v>
      </c>
    </row>
    <row r="134" spans="2:16">
      <c r="B134" s="9" t="str">
        <f t="shared" si="18"/>
        <v/>
      </c>
      <c r="C134" s="157">
        <f>IF(D93="","-",+C133+1)</f>
        <v>2050</v>
      </c>
      <c r="D134" s="158">
        <f>IF(F133+SUM(E$99:E133)=D$92,F133,D$92-SUM(E$99:E133))</f>
        <v>0</v>
      </c>
      <c r="E134" s="164">
        <f t="shared" si="19"/>
        <v>0</v>
      </c>
      <c r="F134" s="163">
        <f t="shared" si="20"/>
        <v>0</v>
      </c>
      <c r="G134" s="163">
        <f t="shared" si="21"/>
        <v>0</v>
      </c>
      <c r="H134" s="333">
        <f t="shared" si="15"/>
        <v>0</v>
      </c>
      <c r="I134" s="344">
        <f t="shared" si="16"/>
        <v>0</v>
      </c>
      <c r="J134" s="162">
        <f t="shared" si="22"/>
        <v>0</v>
      </c>
      <c r="K134" s="162"/>
      <c r="L134" s="335"/>
      <c r="M134" s="162">
        <f t="shared" si="23"/>
        <v>0</v>
      </c>
      <c r="N134" s="335"/>
      <c r="O134" s="162">
        <f t="shared" si="24"/>
        <v>0</v>
      </c>
      <c r="P134" s="162">
        <f t="shared" si="25"/>
        <v>0</v>
      </c>
    </row>
    <row r="135" spans="2:16">
      <c r="B135" s="9" t="str">
        <f t="shared" si="18"/>
        <v/>
      </c>
      <c r="C135" s="157">
        <f>IF(D93="","-",+C134+1)</f>
        <v>2051</v>
      </c>
      <c r="D135" s="158">
        <f>IF(F134+SUM(E$99:E134)=D$92,F134,D$92-SUM(E$99:E134))</f>
        <v>0</v>
      </c>
      <c r="E135" s="164">
        <f t="shared" si="19"/>
        <v>0</v>
      </c>
      <c r="F135" s="163">
        <f t="shared" si="20"/>
        <v>0</v>
      </c>
      <c r="G135" s="163">
        <f t="shared" si="21"/>
        <v>0</v>
      </c>
      <c r="H135" s="333">
        <f t="shared" si="15"/>
        <v>0</v>
      </c>
      <c r="I135" s="344">
        <f t="shared" si="16"/>
        <v>0</v>
      </c>
      <c r="J135" s="162">
        <f t="shared" si="22"/>
        <v>0</v>
      </c>
      <c r="K135" s="162"/>
      <c r="L135" s="335"/>
      <c r="M135" s="162">
        <f t="shared" si="23"/>
        <v>0</v>
      </c>
      <c r="N135" s="335"/>
      <c r="O135" s="162">
        <f t="shared" si="24"/>
        <v>0</v>
      </c>
      <c r="P135" s="162">
        <f t="shared" si="25"/>
        <v>0</v>
      </c>
    </row>
    <row r="136" spans="2:16">
      <c r="B136" s="9" t="str">
        <f t="shared" si="18"/>
        <v/>
      </c>
      <c r="C136" s="157">
        <f>IF(D93="","-",+C135+1)</f>
        <v>2052</v>
      </c>
      <c r="D136" s="158">
        <f>IF(F135+SUM(E$99:E135)=D$92,F135,D$92-SUM(E$99:E135))</f>
        <v>0</v>
      </c>
      <c r="E136" s="164">
        <f t="shared" si="19"/>
        <v>0</v>
      </c>
      <c r="F136" s="163">
        <f t="shared" si="20"/>
        <v>0</v>
      </c>
      <c r="G136" s="163">
        <f t="shared" si="21"/>
        <v>0</v>
      </c>
      <c r="H136" s="333">
        <f t="shared" si="15"/>
        <v>0</v>
      </c>
      <c r="I136" s="344">
        <f t="shared" si="16"/>
        <v>0</v>
      </c>
      <c r="J136" s="162">
        <f t="shared" si="22"/>
        <v>0</v>
      </c>
      <c r="K136" s="162"/>
      <c r="L136" s="335"/>
      <c r="M136" s="162">
        <f t="shared" si="23"/>
        <v>0</v>
      </c>
      <c r="N136" s="335"/>
      <c r="O136" s="162">
        <f t="shared" si="24"/>
        <v>0</v>
      </c>
      <c r="P136" s="162">
        <f t="shared" si="25"/>
        <v>0</v>
      </c>
    </row>
    <row r="137" spans="2:16">
      <c r="B137" s="9" t="str">
        <f t="shared" si="18"/>
        <v/>
      </c>
      <c r="C137" s="157">
        <f>IF(D93="","-",+C136+1)</f>
        <v>2053</v>
      </c>
      <c r="D137" s="158">
        <f>IF(F136+SUM(E$99:E136)=D$92,F136,D$92-SUM(E$99:E136))</f>
        <v>0</v>
      </c>
      <c r="E137" s="164">
        <f t="shared" si="19"/>
        <v>0</v>
      </c>
      <c r="F137" s="163">
        <f t="shared" si="20"/>
        <v>0</v>
      </c>
      <c r="G137" s="163">
        <f t="shared" si="21"/>
        <v>0</v>
      </c>
      <c r="H137" s="333">
        <f t="shared" si="15"/>
        <v>0</v>
      </c>
      <c r="I137" s="344">
        <f t="shared" si="16"/>
        <v>0</v>
      </c>
      <c r="J137" s="162">
        <f t="shared" si="22"/>
        <v>0</v>
      </c>
      <c r="K137" s="162"/>
      <c r="L137" s="335"/>
      <c r="M137" s="162">
        <f t="shared" si="23"/>
        <v>0</v>
      </c>
      <c r="N137" s="335"/>
      <c r="O137" s="162">
        <f t="shared" si="24"/>
        <v>0</v>
      </c>
      <c r="P137" s="162">
        <f t="shared" si="25"/>
        <v>0</v>
      </c>
    </row>
    <row r="138" spans="2:16">
      <c r="B138" s="9" t="str">
        <f t="shared" si="18"/>
        <v/>
      </c>
      <c r="C138" s="157">
        <f>IF(D93="","-",+C137+1)</f>
        <v>2054</v>
      </c>
      <c r="D138" s="158">
        <f>IF(F137+SUM(E$99:E137)=D$92,F137,D$92-SUM(E$99:E137))</f>
        <v>0</v>
      </c>
      <c r="E138" s="164">
        <f t="shared" si="19"/>
        <v>0</v>
      </c>
      <c r="F138" s="163">
        <f t="shared" si="20"/>
        <v>0</v>
      </c>
      <c r="G138" s="163">
        <f t="shared" si="21"/>
        <v>0</v>
      </c>
      <c r="H138" s="333">
        <f t="shared" si="15"/>
        <v>0</v>
      </c>
      <c r="I138" s="344">
        <f t="shared" si="16"/>
        <v>0</v>
      </c>
      <c r="J138" s="162">
        <f t="shared" si="22"/>
        <v>0</v>
      </c>
      <c r="K138" s="162"/>
      <c r="L138" s="335"/>
      <c r="M138" s="162">
        <f t="shared" si="23"/>
        <v>0</v>
      </c>
      <c r="N138" s="335"/>
      <c r="O138" s="162">
        <f t="shared" si="24"/>
        <v>0</v>
      </c>
      <c r="P138" s="162">
        <f t="shared" si="25"/>
        <v>0</v>
      </c>
    </row>
    <row r="139" spans="2:16">
      <c r="B139" s="9" t="str">
        <f t="shared" si="18"/>
        <v/>
      </c>
      <c r="C139" s="157">
        <f>IF(D93="","-",+C138+1)</f>
        <v>2055</v>
      </c>
      <c r="D139" s="158">
        <f>IF(F138+SUM(E$99:E138)=D$92,F138,D$92-SUM(E$99:E138))</f>
        <v>0</v>
      </c>
      <c r="E139" s="164">
        <f t="shared" si="19"/>
        <v>0</v>
      </c>
      <c r="F139" s="163">
        <f t="shared" si="20"/>
        <v>0</v>
      </c>
      <c r="G139" s="163">
        <f t="shared" si="21"/>
        <v>0</v>
      </c>
      <c r="H139" s="333">
        <f t="shared" si="15"/>
        <v>0</v>
      </c>
      <c r="I139" s="344">
        <f t="shared" si="16"/>
        <v>0</v>
      </c>
      <c r="J139" s="162">
        <f t="shared" si="22"/>
        <v>0</v>
      </c>
      <c r="K139" s="162"/>
      <c r="L139" s="335"/>
      <c r="M139" s="162">
        <f t="shared" si="23"/>
        <v>0</v>
      </c>
      <c r="N139" s="335"/>
      <c r="O139" s="162">
        <f t="shared" si="24"/>
        <v>0</v>
      </c>
      <c r="P139" s="162">
        <f t="shared" si="25"/>
        <v>0</v>
      </c>
    </row>
    <row r="140" spans="2:16">
      <c r="B140" s="9" t="str">
        <f t="shared" si="18"/>
        <v/>
      </c>
      <c r="C140" s="157">
        <f>IF(D93="","-",+C139+1)</f>
        <v>2056</v>
      </c>
      <c r="D140" s="158">
        <f>IF(F139+SUM(E$99:E139)=D$92,F139,D$92-SUM(E$99:E139))</f>
        <v>0</v>
      </c>
      <c r="E140" s="164">
        <f t="shared" si="19"/>
        <v>0</v>
      </c>
      <c r="F140" s="163">
        <f t="shared" si="20"/>
        <v>0</v>
      </c>
      <c r="G140" s="163">
        <f t="shared" si="21"/>
        <v>0</v>
      </c>
      <c r="H140" s="333">
        <f t="shared" si="15"/>
        <v>0</v>
      </c>
      <c r="I140" s="344">
        <f t="shared" si="16"/>
        <v>0</v>
      </c>
      <c r="J140" s="162">
        <f t="shared" si="22"/>
        <v>0</v>
      </c>
      <c r="K140" s="162"/>
      <c r="L140" s="335"/>
      <c r="M140" s="162">
        <f t="shared" si="23"/>
        <v>0</v>
      </c>
      <c r="N140" s="335"/>
      <c r="O140" s="162">
        <f t="shared" si="24"/>
        <v>0</v>
      </c>
      <c r="P140" s="162">
        <f t="shared" si="25"/>
        <v>0</v>
      </c>
    </row>
    <row r="141" spans="2:16">
      <c r="B141" s="9" t="str">
        <f t="shared" si="18"/>
        <v/>
      </c>
      <c r="C141" s="157">
        <f>IF(D93="","-",+C140+1)</f>
        <v>2057</v>
      </c>
      <c r="D141" s="158">
        <f>IF(F140+SUM(E$99:E140)=D$92,F140,D$92-SUM(E$99:E140))</f>
        <v>0</v>
      </c>
      <c r="E141" s="164">
        <f t="shared" si="19"/>
        <v>0</v>
      </c>
      <c r="F141" s="163">
        <f t="shared" si="20"/>
        <v>0</v>
      </c>
      <c r="G141" s="163">
        <f t="shared" si="21"/>
        <v>0</v>
      </c>
      <c r="H141" s="333">
        <f t="shared" si="15"/>
        <v>0</v>
      </c>
      <c r="I141" s="344">
        <f t="shared" si="16"/>
        <v>0</v>
      </c>
      <c r="J141" s="162">
        <f t="shared" si="22"/>
        <v>0</v>
      </c>
      <c r="K141" s="162"/>
      <c r="L141" s="335"/>
      <c r="M141" s="162">
        <f t="shared" si="23"/>
        <v>0</v>
      </c>
      <c r="N141" s="335"/>
      <c r="O141" s="162">
        <f t="shared" si="24"/>
        <v>0</v>
      </c>
      <c r="P141" s="162">
        <f t="shared" si="25"/>
        <v>0</v>
      </c>
    </row>
    <row r="142" spans="2:16">
      <c r="B142" s="9" t="str">
        <f t="shared" si="18"/>
        <v/>
      </c>
      <c r="C142" s="157">
        <f>IF(D93="","-",+C141+1)</f>
        <v>2058</v>
      </c>
      <c r="D142" s="158">
        <f>IF(F141+SUM(E$99:E141)=D$92,F141,D$92-SUM(E$99:E141))</f>
        <v>0</v>
      </c>
      <c r="E142" s="164">
        <f t="shared" si="19"/>
        <v>0</v>
      </c>
      <c r="F142" s="163">
        <f t="shared" si="20"/>
        <v>0</v>
      </c>
      <c r="G142" s="163">
        <f t="shared" si="21"/>
        <v>0</v>
      </c>
      <c r="H142" s="333">
        <f t="shared" si="15"/>
        <v>0</v>
      </c>
      <c r="I142" s="344">
        <f t="shared" si="16"/>
        <v>0</v>
      </c>
      <c r="J142" s="162">
        <f t="shared" si="22"/>
        <v>0</v>
      </c>
      <c r="K142" s="162"/>
      <c r="L142" s="335"/>
      <c r="M142" s="162">
        <f t="shared" si="23"/>
        <v>0</v>
      </c>
      <c r="N142" s="335"/>
      <c r="O142" s="162">
        <f t="shared" si="24"/>
        <v>0</v>
      </c>
      <c r="P142" s="162">
        <f t="shared" si="25"/>
        <v>0</v>
      </c>
    </row>
    <row r="143" spans="2:16">
      <c r="B143" s="9" t="str">
        <f t="shared" si="18"/>
        <v/>
      </c>
      <c r="C143" s="157">
        <f>IF(D93="","-",+C142+1)</f>
        <v>2059</v>
      </c>
      <c r="D143" s="158">
        <f>IF(F142+SUM(E$99:E142)=D$92,F142,D$92-SUM(E$99:E142))</f>
        <v>0</v>
      </c>
      <c r="E143" s="164">
        <f t="shared" si="19"/>
        <v>0</v>
      </c>
      <c r="F143" s="163">
        <f t="shared" si="20"/>
        <v>0</v>
      </c>
      <c r="G143" s="163">
        <f t="shared" si="21"/>
        <v>0</v>
      </c>
      <c r="H143" s="333">
        <f t="shared" si="15"/>
        <v>0</v>
      </c>
      <c r="I143" s="344">
        <f t="shared" si="16"/>
        <v>0</v>
      </c>
      <c r="J143" s="162">
        <f t="shared" si="22"/>
        <v>0</v>
      </c>
      <c r="K143" s="162"/>
      <c r="L143" s="335"/>
      <c r="M143" s="162">
        <f t="shared" si="23"/>
        <v>0</v>
      </c>
      <c r="N143" s="335"/>
      <c r="O143" s="162">
        <f t="shared" si="24"/>
        <v>0</v>
      </c>
      <c r="P143" s="162">
        <f t="shared" si="25"/>
        <v>0</v>
      </c>
    </row>
    <row r="144" spans="2:16">
      <c r="B144" s="9" t="str">
        <f t="shared" si="18"/>
        <v/>
      </c>
      <c r="C144" s="157">
        <f>IF(D93="","-",+C143+1)</f>
        <v>2060</v>
      </c>
      <c r="D144" s="158">
        <f>IF(F143+SUM(E$99:E143)=D$92,F143,D$92-SUM(E$99:E143))</f>
        <v>0</v>
      </c>
      <c r="E144" s="164">
        <f t="shared" si="19"/>
        <v>0</v>
      </c>
      <c r="F144" s="163">
        <f t="shared" si="20"/>
        <v>0</v>
      </c>
      <c r="G144" s="163">
        <f t="shared" si="21"/>
        <v>0</v>
      </c>
      <c r="H144" s="333">
        <f t="shared" si="15"/>
        <v>0</v>
      </c>
      <c r="I144" s="344">
        <f t="shared" si="16"/>
        <v>0</v>
      </c>
      <c r="J144" s="162">
        <f t="shared" si="22"/>
        <v>0</v>
      </c>
      <c r="K144" s="162"/>
      <c r="L144" s="335"/>
      <c r="M144" s="162">
        <f t="shared" si="23"/>
        <v>0</v>
      </c>
      <c r="N144" s="335"/>
      <c r="O144" s="162">
        <f t="shared" si="24"/>
        <v>0</v>
      </c>
      <c r="P144" s="162">
        <f t="shared" si="25"/>
        <v>0</v>
      </c>
    </row>
    <row r="145" spans="2:16">
      <c r="B145" s="9" t="str">
        <f t="shared" si="18"/>
        <v/>
      </c>
      <c r="C145" s="157">
        <f>IF(D93="","-",+C144+1)</f>
        <v>2061</v>
      </c>
      <c r="D145" s="158">
        <f>IF(F144+SUM(E$99:E144)=D$92,F144,D$92-SUM(E$99:E144))</f>
        <v>0</v>
      </c>
      <c r="E145" s="164">
        <f t="shared" si="19"/>
        <v>0</v>
      </c>
      <c r="F145" s="163">
        <f t="shared" si="20"/>
        <v>0</v>
      </c>
      <c r="G145" s="163">
        <f t="shared" si="21"/>
        <v>0</v>
      </c>
      <c r="H145" s="333">
        <f t="shared" si="15"/>
        <v>0</v>
      </c>
      <c r="I145" s="344">
        <f t="shared" si="16"/>
        <v>0</v>
      </c>
      <c r="J145" s="162">
        <f t="shared" si="22"/>
        <v>0</v>
      </c>
      <c r="K145" s="162"/>
      <c r="L145" s="335"/>
      <c r="M145" s="162">
        <f t="shared" si="23"/>
        <v>0</v>
      </c>
      <c r="N145" s="335"/>
      <c r="O145" s="162">
        <f t="shared" si="24"/>
        <v>0</v>
      </c>
      <c r="P145" s="162">
        <f t="shared" si="25"/>
        <v>0</v>
      </c>
    </row>
    <row r="146" spans="2:16">
      <c r="B146" s="9" t="str">
        <f t="shared" si="18"/>
        <v/>
      </c>
      <c r="C146" s="157">
        <f>IF(D93="","-",+C145+1)</f>
        <v>2062</v>
      </c>
      <c r="D146" s="158">
        <f>IF(F145+SUM(E$99:E145)=D$92,F145,D$92-SUM(E$99:E145))</f>
        <v>0</v>
      </c>
      <c r="E146" s="164">
        <f t="shared" si="19"/>
        <v>0</v>
      </c>
      <c r="F146" s="163">
        <f t="shared" si="20"/>
        <v>0</v>
      </c>
      <c r="G146" s="163">
        <f t="shared" si="21"/>
        <v>0</v>
      </c>
      <c r="H146" s="333">
        <f t="shared" si="15"/>
        <v>0</v>
      </c>
      <c r="I146" s="344">
        <f t="shared" si="16"/>
        <v>0</v>
      </c>
      <c r="J146" s="162">
        <f t="shared" si="22"/>
        <v>0</v>
      </c>
      <c r="K146" s="162"/>
      <c r="L146" s="335"/>
      <c r="M146" s="162">
        <f t="shared" si="23"/>
        <v>0</v>
      </c>
      <c r="N146" s="335"/>
      <c r="O146" s="162">
        <f t="shared" si="24"/>
        <v>0</v>
      </c>
      <c r="P146" s="162">
        <f t="shared" si="25"/>
        <v>0</v>
      </c>
    </row>
    <row r="147" spans="2:16">
      <c r="B147" s="9" t="str">
        <f t="shared" si="18"/>
        <v/>
      </c>
      <c r="C147" s="157">
        <f>IF(D93="","-",+C146+1)</f>
        <v>2063</v>
      </c>
      <c r="D147" s="158">
        <f>IF(F146+SUM(E$99:E146)=D$92,F146,D$92-SUM(E$99:E146))</f>
        <v>0</v>
      </c>
      <c r="E147" s="164">
        <f t="shared" si="19"/>
        <v>0</v>
      </c>
      <c r="F147" s="163">
        <f t="shared" si="20"/>
        <v>0</v>
      </c>
      <c r="G147" s="163">
        <f t="shared" si="21"/>
        <v>0</v>
      </c>
      <c r="H147" s="333">
        <f t="shared" si="15"/>
        <v>0</v>
      </c>
      <c r="I147" s="344">
        <f t="shared" si="16"/>
        <v>0</v>
      </c>
      <c r="J147" s="162">
        <f t="shared" si="22"/>
        <v>0</v>
      </c>
      <c r="K147" s="162"/>
      <c r="L147" s="335"/>
      <c r="M147" s="162">
        <f t="shared" si="23"/>
        <v>0</v>
      </c>
      <c r="N147" s="335"/>
      <c r="O147" s="162">
        <f t="shared" si="24"/>
        <v>0</v>
      </c>
      <c r="P147" s="162">
        <f t="shared" si="25"/>
        <v>0</v>
      </c>
    </row>
    <row r="148" spans="2:16">
      <c r="B148" s="9" t="str">
        <f t="shared" si="18"/>
        <v/>
      </c>
      <c r="C148" s="157">
        <f>IF(D93="","-",+C147+1)</f>
        <v>2064</v>
      </c>
      <c r="D148" s="158">
        <f>IF(F147+SUM(E$99:E147)=D$92,F147,D$92-SUM(E$99:E147))</f>
        <v>0</v>
      </c>
      <c r="E148" s="164">
        <f t="shared" si="19"/>
        <v>0</v>
      </c>
      <c r="F148" s="163">
        <f t="shared" si="20"/>
        <v>0</v>
      </c>
      <c r="G148" s="163">
        <f t="shared" si="21"/>
        <v>0</v>
      </c>
      <c r="H148" s="333">
        <f t="shared" si="15"/>
        <v>0</v>
      </c>
      <c r="I148" s="344">
        <f t="shared" si="16"/>
        <v>0</v>
      </c>
      <c r="J148" s="162">
        <f t="shared" si="22"/>
        <v>0</v>
      </c>
      <c r="K148" s="162"/>
      <c r="L148" s="335"/>
      <c r="M148" s="162">
        <f t="shared" si="23"/>
        <v>0</v>
      </c>
      <c r="N148" s="335"/>
      <c r="O148" s="162">
        <f t="shared" si="24"/>
        <v>0</v>
      </c>
      <c r="P148" s="162">
        <f t="shared" si="25"/>
        <v>0</v>
      </c>
    </row>
    <row r="149" spans="2:16">
      <c r="B149" s="9" t="str">
        <f t="shared" si="18"/>
        <v/>
      </c>
      <c r="C149" s="157">
        <f>IF(D93="","-",+C148+1)</f>
        <v>2065</v>
      </c>
      <c r="D149" s="158">
        <f>IF(F148+SUM(E$99:E148)=D$92,F148,D$92-SUM(E$99:E148))</f>
        <v>0</v>
      </c>
      <c r="E149" s="164">
        <f t="shared" si="19"/>
        <v>0</v>
      </c>
      <c r="F149" s="163">
        <f t="shared" si="20"/>
        <v>0</v>
      </c>
      <c r="G149" s="163">
        <f t="shared" si="21"/>
        <v>0</v>
      </c>
      <c r="H149" s="333">
        <f t="shared" si="15"/>
        <v>0</v>
      </c>
      <c r="I149" s="344">
        <f t="shared" si="16"/>
        <v>0</v>
      </c>
      <c r="J149" s="162">
        <f t="shared" si="22"/>
        <v>0</v>
      </c>
      <c r="K149" s="162"/>
      <c r="L149" s="335"/>
      <c r="M149" s="162">
        <f t="shared" si="23"/>
        <v>0</v>
      </c>
      <c r="N149" s="335"/>
      <c r="O149" s="162">
        <f t="shared" si="24"/>
        <v>0</v>
      </c>
      <c r="P149" s="162">
        <f t="shared" si="25"/>
        <v>0</v>
      </c>
    </row>
    <row r="150" spans="2:16">
      <c r="B150" s="9" t="str">
        <f t="shared" si="18"/>
        <v/>
      </c>
      <c r="C150" s="157">
        <f>IF(D93="","-",+C149+1)</f>
        <v>2066</v>
      </c>
      <c r="D150" s="158">
        <f>IF(F149+SUM(E$99:E149)=D$92,F149,D$92-SUM(E$99:E149))</f>
        <v>0</v>
      </c>
      <c r="E150" s="164">
        <f t="shared" si="19"/>
        <v>0</v>
      </c>
      <c r="F150" s="163">
        <f t="shared" si="20"/>
        <v>0</v>
      </c>
      <c r="G150" s="163">
        <f t="shared" si="21"/>
        <v>0</v>
      </c>
      <c r="H150" s="333">
        <f t="shared" si="15"/>
        <v>0</v>
      </c>
      <c r="I150" s="344">
        <f t="shared" si="16"/>
        <v>0</v>
      </c>
      <c r="J150" s="162">
        <f t="shared" si="22"/>
        <v>0</v>
      </c>
      <c r="K150" s="162"/>
      <c r="L150" s="335"/>
      <c r="M150" s="162">
        <f t="shared" si="23"/>
        <v>0</v>
      </c>
      <c r="N150" s="335"/>
      <c r="O150" s="162">
        <f t="shared" si="24"/>
        <v>0</v>
      </c>
      <c r="P150" s="162">
        <f t="shared" si="25"/>
        <v>0</v>
      </c>
    </row>
    <row r="151" spans="2:16">
      <c r="B151" s="9" t="str">
        <f t="shared" si="18"/>
        <v/>
      </c>
      <c r="C151" s="157">
        <f>IF(D93="","-",+C150+1)</f>
        <v>2067</v>
      </c>
      <c r="D151" s="158">
        <f>IF(F150+SUM(E$99:E150)=D$92,F150,D$92-SUM(E$99:E150))</f>
        <v>0</v>
      </c>
      <c r="E151" s="164">
        <f t="shared" si="19"/>
        <v>0</v>
      </c>
      <c r="F151" s="163">
        <f t="shared" si="20"/>
        <v>0</v>
      </c>
      <c r="G151" s="163">
        <f t="shared" si="21"/>
        <v>0</v>
      </c>
      <c r="H151" s="333">
        <f t="shared" si="15"/>
        <v>0</v>
      </c>
      <c r="I151" s="344">
        <f t="shared" si="16"/>
        <v>0</v>
      </c>
      <c r="J151" s="162">
        <f t="shared" si="22"/>
        <v>0</v>
      </c>
      <c r="K151" s="162"/>
      <c r="L151" s="335"/>
      <c r="M151" s="162">
        <f t="shared" si="23"/>
        <v>0</v>
      </c>
      <c r="N151" s="335"/>
      <c r="O151" s="162">
        <f t="shared" si="24"/>
        <v>0</v>
      </c>
      <c r="P151" s="162">
        <f t="shared" si="25"/>
        <v>0</v>
      </c>
    </row>
    <row r="152" spans="2:16">
      <c r="B152" s="9" t="str">
        <f t="shared" si="18"/>
        <v/>
      </c>
      <c r="C152" s="157">
        <f>IF(D93="","-",+C151+1)</f>
        <v>2068</v>
      </c>
      <c r="D152" s="158">
        <f>IF(F151+SUM(E$99:E151)=D$92,F151,D$92-SUM(E$99:E151))</f>
        <v>0</v>
      </c>
      <c r="E152" s="164">
        <f t="shared" si="19"/>
        <v>0</v>
      </c>
      <c r="F152" s="163">
        <f t="shared" si="20"/>
        <v>0</v>
      </c>
      <c r="G152" s="163">
        <f t="shared" si="21"/>
        <v>0</v>
      </c>
      <c r="H152" s="333">
        <f t="shared" si="15"/>
        <v>0</v>
      </c>
      <c r="I152" s="344">
        <f t="shared" si="16"/>
        <v>0</v>
      </c>
      <c r="J152" s="162">
        <f t="shared" si="22"/>
        <v>0</v>
      </c>
      <c r="K152" s="162"/>
      <c r="L152" s="335"/>
      <c r="M152" s="162">
        <f t="shared" si="23"/>
        <v>0</v>
      </c>
      <c r="N152" s="335"/>
      <c r="O152" s="162">
        <f t="shared" si="24"/>
        <v>0</v>
      </c>
      <c r="P152" s="162">
        <f t="shared" si="25"/>
        <v>0</v>
      </c>
    </row>
    <row r="153" spans="2:16">
      <c r="B153" s="9" t="str">
        <f t="shared" si="18"/>
        <v/>
      </c>
      <c r="C153" s="157">
        <f>IF(D93="","-",+C152+1)</f>
        <v>2069</v>
      </c>
      <c r="D153" s="158">
        <f>IF(F152+SUM(E$99:E152)=D$92,F152,D$92-SUM(E$99:E152))</f>
        <v>0</v>
      </c>
      <c r="E153" s="164">
        <f t="shared" si="19"/>
        <v>0</v>
      </c>
      <c r="F153" s="163">
        <f t="shared" si="20"/>
        <v>0</v>
      </c>
      <c r="G153" s="163">
        <f t="shared" si="21"/>
        <v>0</v>
      </c>
      <c r="H153" s="333">
        <f t="shared" si="15"/>
        <v>0</v>
      </c>
      <c r="I153" s="344">
        <f t="shared" si="16"/>
        <v>0</v>
      </c>
      <c r="J153" s="162">
        <f t="shared" si="22"/>
        <v>0</v>
      </c>
      <c r="K153" s="162"/>
      <c r="L153" s="335"/>
      <c r="M153" s="162">
        <f t="shared" si="23"/>
        <v>0</v>
      </c>
      <c r="N153" s="335"/>
      <c r="O153" s="162">
        <f t="shared" si="24"/>
        <v>0</v>
      </c>
      <c r="P153" s="162">
        <f t="shared" si="25"/>
        <v>0</v>
      </c>
    </row>
    <row r="154" spans="2:16" ht="13.5" thickBot="1">
      <c r="B154" s="9" t="str">
        <f t="shared" si="18"/>
        <v/>
      </c>
      <c r="C154" s="168">
        <f>IF(D93="","-",+C153+1)</f>
        <v>2070</v>
      </c>
      <c r="D154" s="219">
        <f>IF(F153+SUM(E$99:E153)=D$92,F153,D$92-SUM(E$99:E153))</f>
        <v>0</v>
      </c>
      <c r="E154" s="170">
        <f t="shared" si="19"/>
        <v>0</v>
      </c>
      <c r="F154" s="169">
        <f t="shared" si="20"/>
        <v>0</v>
      </c>
      <c r="G154" s="169">
        <f t="shared" si="21"/>
        <v>0</v>
      </c>
      <c r="H154" s="345">
        <f t="shared" si="15"/>
        <v>0</v>
      </c>
      <c r="I154" s="346">
        <f t="shared" si="16"/>
        <v>0</v>
      </c>
      <c r="J154" s="173">
        <f t="shared" si="22"/>
        <v>0</v>
      </c>
      <c r="K154" s="162"/>
      <c r="L154" s="336"/>
      <c r="M154" s="173">
        <f t="shared" si="23"/>
        <v>0</v>
      </c>
      <c r="N154" s="336"/>
      <c r="O154" s="173">
        <f t="shared" si="24"/>
        <v>0</v>
      </c>
      <c r="P154" s="173">
        <f t="shared" si="25"/>
        <v>0</v>
      </c>
    </row>
    <row r="155" spans="2:16">
      <c r="C155" s="158" t="s">
        <v>72</v>
      </c>
      <c r="D155" s="115"/>
      <c r="E155" s="115">
        <f>SUM(E99:E154)</f>
        <v>0</v>
      </c>
      <c r="F155" s="115"/>
      <c r="G155" s="115"/>
      <c r="H155" s="115">
        <f>SUM(H99:H154)</f>
        <v>0</v>
      </c>
      <c r="I155" s="115">
        <f>SUM(I99:I154)</f>
        <v>0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144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phoneticPr fontId="0" type="noConversion"/>
  <conditionalFormatting sqref="C17:C72">
    <cfRule type="cellIs" dxfId="1" priority="1" stopIfTrue="1" operator="equal">
      <formula>$I$10</formula>
    </cfRule>
  </conditionalFormatting>
  <conditionalFormatting sqref="C99:C154">
    <cfRule type="cellIs" dxfId="0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P162"/>
  <sheetViews>
    <sheetView view="pageBreakPreview" zoomScale="80" zoomScaleNormal="100" zoomScaleSheetLayoutView="80" workbookViewId="0">
      <selection activeCell="J27" sqref="J27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14062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"&amp;RIGHT(MID(CELL("filename",$A$1),FIND("]",CELL("filename",$A$1))+1,256),1)&amp;" of "&amp;COUNT('P.001:P.xyz - blank'!$P$3)-1</f>
        <v>PSO Project 1 of 28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 t="str">
        <f>"For Calendar Year "&amp;V1-1&amp;" and Projected Year "&amp;V1</f>
        <v xml:space="preserve">For Calendar Year -1 and Projected Year </v>
      </c>
      <c r="I3" s="3"/>
      <c r="J3" s="115"/>
      <c r="K3" s="3"/>
      <c r="L3" s="3"/>
      <c r="M3" s="3"/>
      <c r="N3" s="3"/>
      <c r="O3" s="1" t="str">
        <f>RIGHT(N3,3)</f>
        <v/>
      </c>
      <c r="P3" s="248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275</v>
      </c>
      <c r="L5" s="119"/>
      <c r="M5" s="120"/>
      <c r="N5" s="121">
        <f>VLOOKUP(I10,C17:I72,5)</f>
        <v>96794.079800478314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276</v>
      </c>
      <c r="L6" s="125"/>
      <c r="M6" s="4"/>
      <c r="N6" s="126">
        <f>VLOOKUP(I10,C17:I72,6)</f>
        <v>96794.079800478314</v>
      </c>
      <c r="O6" s="1"/>
      <c r="P6" s="1"/>
    </row>
    <row r="7" spans="1:16" ht="13.5" thickBot="1">
      <c r="C7" s="127" t="s">
        <v>41</v>
      </c>
      <c r="D7" s="343" t="s">
        <v>201</v>
      </c>
      <c r="E7" s="95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 t="str">
        <f>IF(D10&lt;100000,"DOES NOT MEET SPP $100,000 MINIMUM INVESTMENT FOR REGIONAL BPU SHARING.","")</f>
        <v/>
      </c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A9" s="107"/>
      <c r="C9" s="133" t="s">
        <v>43</v>
      </c>
      <c r="D9" s="229" t="s">
        <v>44</v>
      </c>
      <c r="E9" s="427" t="s">
        <v>299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f>893858</f>
        <v>893858</v>
      </c>
      <c r="E10" s="64" t="s">
        <v>46</v>
      </c>
      <c r="F10" s="137"/>
      <c r="G10" s="139"/>
      <c r="H10" s="139"/>
      <c r="I10" s="140">
        <f>+PSO.WS.F.BPU.ATRR.Projected!L19</f>
        <v>2020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2009</v>
      </c>
      <c r="E11" s="141" t="s">
        <v>49</v>
      </c>
      <c r="F11" s="139"/>
      <c r="G11" s="7"/>
      <c r="H11" s="7"/>
      <c r="I11" s="143"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6</v>
      </c>
      <c r="E12" s="141" t="s">
        <v>51</v>
      </c>
      <c r="F12" s="139"/>
      <c r="G12" s="7"/>
      <c r="H12" s="7"/>
      <c r="I12" s="145">
        <f>PSO.WS.F.BPU.ATRR.Projected!$F$81</f>
        <v>0.10800477690995318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42</v>
      </c>
      <c r="E13" s="141" t="s">
        <v>54</v>
      </c>
      <c r="F13" s="139"/>
      <c r="G13" s="7"/>
      <c r="H13" s="7"/>
      <c r="I13" s="145">
        <f>IF(G5="",I12,PSO.WS.F.BPU.ATRR.Projected!$F$80)</f>
        <v>0.10800477690995318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IF(D10=0,0,ROUND(D10/D13,0))</f>
        <v>21282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277</v>
      </c>
      <c r="H15" s="362" t="s">
        <v>278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C17" s="157">
        <f>IF(D11= "","-",D11)</f>
        <v>2009</v>
      </c>
      <c r="D17" s="366">
        <v>579098</v>
      </c>
      <c r="E17" s="367">
        <v>5463</v>
      </c>
      <c r="F17" s="366">
        <v>573635</v>
      </c>
      <c r="G17" s="367">
        <v>56729</v>
      </c>
      <c r="H17" s="367">
        <v>56729</v>
      </c>
      <c r="I17" s="160">
        <f t="shared" ref="I17:I48" si="0">H17-G17</f>
        <v>0</v>
      </c>
      <c r="J17" s="160"/>
      <c r="K17" s="338">
        <v>56729</v>
      </c>
      <c r="L17" s="161">
        <f t="shared" ref="L17:L48" si="1">IF(K17&lt;&gt;0,+G17-K17,0)</f>
        <v>0</v>
      </c>
      <c r="M17" s="338">
        <v>56729</v>
      </c>
      <c r="N17" s="161">
        <f t="shared" ref="N17:N48" si="2">IF(M17&lt;&gt;0,+H17-M17,0)</f>
        <v>0</v>
      </c>
      <c r="O17" s="162">
        <f t="shared" ref="O17:O48" si="3">+N17-L17</f>
        <v>0</v>
      </c>
      <c r="P17" s="4"/>
    </row>
    <row r="18" spans="2:16">
      <c r="B18" s="9" t="str">
        <f>IF(D18=F17,"","IU")</f>
        <v>IU</v>
      </c>
      <c r="C18" s="157">
        <f>IF(D11="","-",+C17+1)</f>
        <v>2010</v>
      </c>
      <c r="D18" s="371">
        <v>888395</v>
      </c>
      <c r="E18" s="368">
        <v>15962</v>
      </c>
      <c r="F18" s="371">
        <v>872433</v>
      </c>
      <c r="G18" s="368">
        <v>141851</v>
      </c>
      <c r="H18" s="370">
        <v>141851</v>
      </c>
      <c r="I18" s="160">
        <f t="shared" si="0"/>
        <v>0</v>
      </c>
      <c r="J18" s="160"/>
      <c r="K18" s="338">
        <f t="shared" ref="K18:K23" si="4">G18</f>
        <v>141851</v>
      </c>
      <c r="L18" s="162">
        <f t="shared" si="1"/>
        <v>0</v>
      </c>
      <c r="M18" s="338">
        <f t="shared" ref="M18:M23" si="5">H18</f>
        <v>141851</v>
      </c>
      <c r="N18" s="162">
        <f t="shared" si="2"/>
        <v>0</v>
      </c>
      <c r="O18" s="162">
        <f t="shared" si="3"/>
        <v>0</v>
      </c>
      <c r="P18" s="4"/>
    </row>
    <row r="19" spans="2:16">
      <c r="B19" s="9" t="str">
        <f>IF(D19=F18,"","IU")</f>
        <v/>
      </c>
      <c r="C19" s="157">
        <f>IF(D11="","-",+C18+1)</f>
        <v>2011</v>
      </c>
      <c r="D19" s="371">
        <v>872433</v>
      </c>
      <c r="E19" s="368">
        <v>17527</v>
      </c>
      <c r="F19" s="371">
        <v>854906</v>
      </c>
      <c r="G19" s="368">
        <v>151356.84230707804</v>
      </c>
      <c r="H19" s="370">
        <v>151356.84230707804</v>
      </c>
      <c r="I19" s="160">
        <f t="shared" si="0"/>
        <v>0</v>
      </c>
      <c r="J19" s="160"/>
      <c r="K19" s="338">
        <f t="shared" si="4"/>
        <v>151356.84230707804</v>
      </c>
      <c r="L19" s="162">
        <f t="shared" si="1"/>
        <v>0</v>
      </c>
      <c r="M19" s="338">
        <f t="shared" si="5"/>
        <v>151356.84230707804</v>
      </c>
      <c r="N19" s="162">
        <f t="shared" si="2"/>
        <v>0</v>
      </c>
      <c r="O19" s="162">
        <f t="shared" si="3"/>
        <v>0</v>
      </c>
      <c r="P19" s="4"/>
    </row>
    <row r="20" spans="2:16">
      <c r="B20" s="9" t="str">
        <f t="shared" ref="B20:B72" si="6">IF(D20=F19,"","IU")</f>
        <v/>
      </c>
      <c r="C20" s="404">
        <f>IF(D11="","-",+C19+1)</f>
        <v>2012</v>
      </c>
      <c r="D20" s="371">
        <v>854906</v>
      </c>
      <c r="E20" s="368">
        <v>17190</v>
      </c>
      <c r="F20" s="371">
        <v>837716</v>
      </c>
      <c r="G20" s="368">
        <v>133805.70830730975</v>
      </c>
      <c r="H20" s="370">
        <v>133805.70830730975</v>
      </c>
      <c r="I20" s="160">
        <f t="shared" si="0"/>
        <v>0</v>
      </c>
      <c r="J20" s="160"/>
      <c r="K20" s="338">
        <f t="shared" si="4"/>
        <v>133805.70830730975</v>
      </c>
      <c r="L20" s="162">
        <f t="shared" si="1"/>
        <v>0</v>
      </c>
      <c r="M20" s="338">
        <f t="shared" si="5"/>
        <v>133805.70830730975</v>
      </c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6"/>
        <v/>
      </c>
      <c r="C21" s="404">
        <f>IF(D12="","-",+C20+1)</f>
        <v>2013</v>
      </c>
      <c r="D21" s="371">
        <v>837716</v>
      </c>
      <c r="E21" s="368">
        <v>17190</v>
      </c>
      <c r="F21" s="371">
        <v>820526</v>
      </c>
      <c r="G21" s="368">
        <v>134366.65985215519</v>
      </c>
      <c r="H21" s="370">
        <v>134366.65985215519</v>
      </c>
      <c r="I21" s="160">
        <v>0</v>
      </c>
      <c r="J21" s="160"/>
      <c r="K21" s="338">
        <f t="shared" si="4"/>
        <v>134366.65985215519</v>
      </c>
      <c r="L21" s="162">
        <f t="shared" ref="L21:L26" si="7">IF(K21&lt;&gt;0,+G21-K21,0)</f>
        <v>0</v>
      </c>
      <c r="M21" s="338">
        <f t="shared" si="5"/>
        <v>134366.65985215519</v>
      </c>
      <c r="N21" s="162">
        <f t="shared" ref="N21:N26" si="8">IF(M21&lt;&gt;0,+H21-M21,0)</f>
        <v>0</v>
      </c>
      <c r="O21" s="162">
        <f t="shared" ref="O21:O26" si="9">+N21-L21</f>
        <v>0</v>
      </c>
      <c r="P21" s="4"/>
    </row>
    <row r="22" spans="2:16">
      <c r="B22" s="9" t="str">
        <f t="shared" si="6"/>
        <v/>
      </c>
      <c r="C22" s="157">
        <f>IF(D11="","-",+C21+1)</f>
        <v>2014</v>
      </c>
      <c r="D22" s="371">
        <v>820526</v>
      </c>
      <c r="E22" s="368">
        <v>17190</v>
      </c>
      <c r="F22" s="371">
        <v>803336</v>
      </c>
      <c r="G22" s="368">
        <v>127776.24380165605</v>
      </c>
      <c r="H22" s="370">
        <v>127776.24380165605</v>
      </c>
      <c r="I22" s="160">
        <v>0</v>
      </c>
      <c r="J22" s="160"/>
      <c r="K22" s="338">
        <f t="shared" si="4"/>
        <v>127776.24380165605</v>
      </c>
      <c r="L22" s="162">
        <f t="shared" si="7"/>
        <v>0</v>
      </c>
      <c r="M22" s="338">
        <f t="shared" si="5"/>
        <v>127776.24380165605</v>
      </c>
      <c r="N22" s="162">
        <f t="shared" si="8"/>
        <v>0</v>
      </c>
      <c r="O22" s="162">
        <f t="shared" si="9"/>
        <v>0</v>
      </c>
      <c r="P22" s="4"/>
    </row>
    <row r="23" spans="2:16">
      <c r="B23" s="9" t="str">
        <f t="shared" si="6"/>
        <v/>
      </c>
      <c r="C23" s="157">
        <f>IF(D11="","-",+C22+1)</f>
        <v>2015</v>
      </c>
      <c r="D23" s="371">
        <v>803336</v>
      </c>
      <c r="E23" s="368">
        <v>17190</v>
      </c>
      <c r="F23" s="371">
        <v>786146</v>
      </c>
      <c r="G23" s="368">
        <v>125577.25148028173</v>
      </c>
      <c r="H23" s="370">
        <v>125577.25148028173</v>
      </c>
      <c r="I23" s="160">
        <v>0</v>
      </c>
      <c r="J23" s="160"/>
      <c r="K23" s="338">
        <f t="shared" si="4"/>
        <v>125577.25148028173</v>
      </c>
      <c r="L23" s="162">
        <f t="shared" si="7"/>
        <v>0</v>
      </c>
      <c r="M23" s="338">
        <f t="shared" si="5"/>
        <v>125577.25148028173</v>
      </c>
      <c r="N23" s="162">
        <f t="shared" si="8"/>
        <v>0</v>
      </c>
      <c r="O23" s="162">
        <f t="shared" si="9"/>
        <v>0</v>
      </c>
      <c r="P23" s="4"/>
    </row>
    <row r="24" spans="2:16">
      <c r="B24" s="9" t="str">
        <f t="shared" si="6"/>
        <v/>
      </c>
      <c r="C24" s="157">
        <f>IF(D11="","-",+C23+1)</f>
        <v>2016</v>
      </c>
      <c r="D24" s="371">
        <v>786146</v>
      </c>
      <c r="E24" s="368">
        <v>17190</v>
      </c>
      <c r="F24" s="371">
        <v>768956</v>
      </c>
      <c r="G24" s="368">
        <v>118045.98754263212</v>
      </c>
      <c r="H24" s="370">
        <v>118045.98754263212</v>
      </c>
      <c r="I24" s="160">
        <f t="shared" si="0"/>
        <v>0</v>
      </c>
      <c r="J24" s="160"/>
      <c r="K24" s="338">
        <f>G24</f>
        <v>118045.98754263212</v>
      </c>
      <c r="L24" s="162">
        <f t="shared" si="7"/>
        <v>0</v>
      </c>
      <c r="M24" s="338">
        <f>H24</f>
        <v>118045.98754263212</v>
      </c>
      <c r="N24" s="162">
        <f t="shared" si="8"/>
        <v>0</v>
      </c>
      <c r="O24" s="162">
        <f t="shared" si="9"/>
        <v>0</v>
      </c>
      <c r="P24" s="4"/>
    </row>
    <row r="25" spans="2:16">
      <c r="B25" s="9" t="str">
        <f t="shared" si="6"/>
        <v/>
      </c>
      <c r="C25" s="157">
        <f>IF(D11="","-",+C24+1)</f>
        <v>2017</v>
      </c>
      <c r="D25" s="371">
        <v>768956</v>
      </c>
      <c r="E25" s="368">
        <v>19432</v>
      </c>
      <c r="F25" s="371">
        <v>749524</v>
      </c>
      <c r="G25" s="368">
        <v>114816.91495996526</v>
      </c>
      <c r="H25" s="370">
        <v>114816.91495996526</v>
      </c>
      <c r="I25" s="160">
        <f t="shared" si="0"/>
        <v>0</v>
      </c>
      <c r="J25" s="160"/>
      <c r="K25" s="338">
        <f>G25</f>
        <v>114816.91495996526</v>
      </c>
      <c r="L25" s="162">
        <f t="shared" si="7"/>
        <v>0</v>
      </c>
      <c r="M25" s="338">
        <f>H25</f>
        <v>114816.91495996526</v>
      </c>
      <c r="N25" s="162">
        <f t="shared" si="8"/>
        <v>0</v>
      </c>
      <c r="O25" s="162">
        <f t="shared" si="9"/>
        <v>0</v>
      </c>
      <c r="P25" s="4"/>
    </row>
    <row r="26" spans="2:16">
      <c r="B26" s="9" t="str">
        <f t="shared" si="6"/>
        <v/>
      </c>
      <c r="C26" s="157">
        <f>IF(D11="","-",+C25+1)</f>
        <v>2018</v>
      </c>
      <c r="D26" s="371">
        <v>749524</v>
      </c>
      <c r="E26" s="368">
        <v>19864</v>
      </c>
      <c r="F26" s="371">
        <v>729660</v>
      </c>
      <c r="G26" s="368">
        <v>118612.83535736376</v>
      </c>
      <c r="H26" s="370">
        <v>118612.83535736376</v>
      </c>
      <c r="I26" s="160">
        <v>0</v>
      </c>
      <c r="J26" s="160"/>
      <c r="K26" s="338">
        <f>G26</f>
        <v>118612.83535736376</v>
      </c>
      <c r="L26" s="162">
        <f t="shared" si="7"/>
        <v>0</v>
      </c>
      <c r="M26" s="338">
        <f>H26</f>
        <v>118612.83535736376</v>
      </c>
      <c r="N26" s="162">
        <f t="shared" si="8"/>
        <v>0</v>
      </c>
      <c r="O26" s="162">
        <f t="shared" si="9"/>
        <v>0</v>
      </c>
      <c r="P26" s="4"/>
    </row>
    <row r="27" spans="2:16">
      <c r="B27" s="9" t="str">
        <f t="shared" si="6"/>
        <v/>
      </c>
      <c r="C27" s="157">
        <f>IF(D11="","-",+C26+1)</f>
        <v>2019</v>
      </c>
      <c r="D27" s="371">
        <v>729660</v>
      </c>
      <c r="E27" s="368">
        <v>19864</v>
      </c>
      <c r="F27" s="371">
        <v>709796</v>
      </c>
      <c r="G27" s="368">
        <v>115924.53277048949</v>
      </c>
      <c r="H27" s="370">
        <v>115924.53277048949</v>
      </c>
      <c r="I27" s="160">
        <f t="shared" si="0"/>
        <v>0</v>
      </c>
      <c r="J27" s="160"/>
      <c r="K27" s="338">
        <f>G27</f>
        <v>115924.53277048949</v>
      </c>
      <c r="L27" s="162">
        <f t="shared" ref="L27" si="10">IF(K27&lt;&gt;0,+G27-K27,0)</f>
        <v>0</v>
      </c>
      <c r="M27" s="338">
        <f>H27</f>
        <v>115924.53277048949</v>
      </c>
      <c r="N27" s="162">
        <f t="shared" ref="N27" si="11">IF(M27&lt;&gt;0,+H27-M27,0)</f>
        <v>0</v>
      </c>
      <c r="O27" s="162">
        <f t="shared" ref="O27" si="12">+N27-L27</f>
        <v>0</v>
      </c>
      <c r="P27" s="4"/>
    </row>
    <row r="28" spans="2:16">
      <c r="B28" s="9" t="str">
        <f t="shared" si="6"/>
        <v/>
      </c>
      <c r="C28" s="157">
        <f>IF(D11="","-",+C27+1)</f>
        <v>2020</v>
      </c>
      <c r="D28" s="166">
        <f>IF(F27+SUM(E$17:E27)=D$10,F27,D$10-SUM(E$17:E27))</f>
        <v>709796</v>
      </c>
      <c r="E28" s="164">
        <f>IF(+I14&lt;F27,I14,D28)</f>
        <v>21282</v>
      </c>
      <c r="F28" s="163">
        <f t="shared" ref="F28:F48" si="13">+D28-E28</f>
        <v>688514</v>
      </c>
      <c r="G28" s="165">
        <f t="shared" ref="G28:G72" si="14">(D28+F28)/2*I$12+E28</f>
        <v>96794.079800478314</v>
      </c>
      <c r="H28" s="147">
        <f t="shared" ref="H28:H72" si="15">+(D28+F28)/2*I$13+E28</f>
        <v>96794.079800478314</v>
      </c>
      <c r="I28" s="160">
        <f t="shared" si="0"/>
        <v>0</v>
      </c>
      <c r="J28" s="160"/>
      <c r="K28" s="335"/>
      <c r="L28" s="162">
        <f t="shared" si="1"/>
        <v>0</v>
      </c>
      <c r="M28" s="335"/>
      <c r="N28" s="162">
        <f t="shared" si="2"/>
        <v>0</v>
      </c>
      <c r="O28" s="162">
        <f t="shared" si="3"/>
        <v>0</v>
      </c>
      <c r="P28" s="4"/>
    </row>
    <row r="29" spans="2:16">
      <c r="B29" s="9" t="str">
        <f t="shared" si="6"/>
        <v/>
      </c>
      <c r="C29" s="157">
        <f>IF(D11="","-",+C28+1)</f>
        <v>2021</v>
      </c>
      <c r="D29" s="166">
        <f>IF(F28+SUM(E$17:E28)=D$10,F28,D$10-SUM(E$17:E28))</f>
        <v>688514</v>
      </c>
      <c r="E29" s="164">
        <f>IF(+I14&lt;F28,I14,D29)</f>
        <v>21282</v>
      </c>
      <c r="F29" s="163">
        <f t="shared" si="13"/>
        <v>667232</v>
      </c>
      <c r="G29" s="165">
        <f t="shared" si="14"/>
        <v>94495.522138280692</v>
      </c>
      <c r="H29" s="147">
        <f t="shared" si="15"/>
        <v>94495.522138280692</v>
      </c>
      <c r="I29" s="160">
        <f t="shared" si="0"/>
        <v>0</v>
      </c>
      <c r="J29" s="160"/>
      <c r="K29" s="335"/>
      <c r="L29" s="162">
        <f t="shared" si="1"/>
        <v>0</v>
      </c>
      <c r="M29" s="335"/>
      <c r="N29" s="162">
        <f t="shared" si="2"/>
        <v>0</v>
      </c>
      <c r="O29" s="162">
        <f t="shared" si="3"/>
        <v>0</v>
      </c>
      <c r="P29" s="4"/>
    </row>
    <row r="30" spans="2:16">
      <c r="B30" s="9" t="str">
        <f t="shared" si="6"/>
        <v/>
      </c>
      <c r="C30" s="157">
        <f>IF(D11="","-",+C29+1)</f>
        <v>2022</v>
      </c>
      <c r="D30" s="166">
        <f>IF(F29+SUM(E$17:E29)=D$10,F29,D$10-SUM(E$17:E29))</f>
        <v>667232</v>
      </c>
      <c r="E30" s="164">
        <f>IF(+I14&lt;F29,I14,D30)</f>
        <v>21282</v>
      </c>
      <c r="F30" s="163">
        <f t="shared" si="13"/>
        <v>645950</v>
      </c>
      <c r="G30" s="165">
        <f t="shared" si="14"/>
        <v>92196.964476083071</v>
      </c>
      <c r="H30" s="147">
        <f t="shared" si="15"/>
        <v>92196.964476083071</v>
      </c>
      <c r="I30" s="160">
        <f t="shared" si="0"/>
        <v>0</v>
      </c>
      <c r="J30" s="160"/>
      <c r="K30" s="335"/>
      <c r="L30" s="162">
        <f t="shared" si="1"/>
        <v>0</v>
      </c>
      <c r="M30" s="335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6"/>
        <v/>
      </c>
      <c r="C31" s="157">
        <f>IF(D11="","-",+C30+1)</f>
        <v>2023</v>
      </c>
      <c r="D31" s="166">
        <f>IF(F30+SUM(E$17:E30)=D$10,F30,D$10-SUM(E$17:E30))</f>
        <v>645950</v>
      </c>
      <c r="E31" s="164">
        <f>IF(+I14&lt;F30,I14,D31)</f>
        <v>21282</v>
      </c>
      <c r="F31" s="163">
        <f t="shared" si="13"/>
        <v>624668</v>
      </c>
      <c r="G31" s="165">
        <f t="shared" si="14"/>
        <v>89898.406813885449</v>
      </c>
      <c r="H31" s="147">
        <f t="shared" si="15"/>
        <v>89898.406813885449</v>
      </c>
      <c r="I31" s="160">
        <f t="shared" si="0"/>
        <v>0</v>
      </c>
      <c r="J31" s="160"/>
      <c r="K31" s="335"/>
      <c r="L31" s="162">
        <f t="shared" si="1"/>
        <v>0</v>
      </c>
      <c r="M31" s="335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6"/>
        <v/>
      </c>
      <c r="C32" s="157">
        <f>IF(D11="","-",+C31+1)</f>
        <v>2024</v>
      </c>
      <c r="D32" s="166">
        <f>IF(F31+SUM(E$17:E31)=D$10,F31,D$10-SUM(E$17:E31))</f>
        <v>624668</v>
      </c>
      <c r="E32" s="164">
        <f>IF(+I14&lt;F31,I14,D32)</f>
        <v>21282</v>
      </c>
      <c r="F32" s="163">
        <f t="shared" si="13"/>
        <v>603386</v>
      </c>
      <c r="G32" s="165">
        <f t="shared" si="14"/>
        <v>87599.849151687828</v>
      </c>
      <c r="H32" s="147">
        <f t="shared" si="15"/>
        <v>87599.849151687828</v>
      </c>
      <c r="I32" s="160">
        <f t="shared" si="0"/>
        <v>0</v>
      </c>
      <c r="J32" s="160"/>
      <c r="K32" s="335"/>
      <c r="L32" s="162">
        <f t="shared" si="1"/>
        <v>0</v>
      </c>
      <c r="M32" s="335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6"/>
        <v/>
      </c>
      <c r="C33" s="157">
        <f>IF(D11="","-",+C32+1)</f>
        <v>2025</v>
      </c>
      <c r="D33" s="166">
        <f>IF(F32+SUM(E$17:E32)=D$10,F32,D$10-SUM(E$17:E32))</f>
        <v>603386</v>
      </c>
      <c r="E33" s="164">
        <f>IF(+I14&lt;F32,I14,D33)</f>
        <v>21282</v>
      </c>
      <c r="F33" s="163">
        <f t="shared" si="13"/>
        <v>582104</v>
      </c>
      <c r="G33" s="165">
        <f t="shared" si="14"/>
        <v>85301.291489490191</v>
      </c>
      <c r="H33" s="147">
        <f t="shared" si="15"/>
        <v>85301.291489490191</v>
      </c>
      <c r="I33" s="160">
        <f t="shared" si="0"/>
        <v>0</v>
      </c>
      <c r="J33" s="160"/>
      <c r="K33" s="335"/>
      <c r="L33" s="162">
        <f t="shared" si="1"/>
        <v>0</v>
      </c>
      <c r="M33" s="335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6"/>
        <v/>
      </c>
      <c r="C34" s="157">
        <f>IF(D11="","-",+C33+1)</f>
        <v>2026</v>
      </c>
      <c r="D34" s="166">
        <f>IF(F33+SUM(E$17:E33)=D$10,F33,D$10-SUM(E$17:E33))</f>
        <v>582104</v>
      </c>
      <c r="E34" s="164">
        <f>IF(+I14&lt;F33,I14,D34)</f>
        <v>21282</v>
      </c>
      <c r="F34" s="163">
        <f t="shared" si="13"/>
        <v>560822</v>
      </c>
      <c r="G34" s="165">
        <f t="shared" si="14"/>
        <v>83002.73382729257</v>
      </c>
      <c r="H34" s="147">
        <f t="shared" si="15"/>
        <v>83002.73382729257</v>
      </c>
      <c r="I34" s="160">
        <f t="shared" si="0"/>
        <v>0</v>
      </c>
      <c r="J34" s="160"/>
      <c r="K34" s="335"/>
      <c r="L34" s="162">
        <f t="shared" si="1"/>
        <v>0</v>
      </c>
      <c r="M34" s="335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6"/>
        <v/>
      </c>
      <c r="C35" s="157">
        <f>IF(D11="","-",+C34+1)</f>
        <v>2027</v>
      </c>
      <c r="D35" s="166">
        <f>IF(F34+SUM(E$17:E34)=D$10,F34,D$10-SUM(E$17:E34))</f>
        <v>560822</v>
      </c>
      <c r="E35" s="164">
        <f>IF(+I14&lt;F34,I14,D35)</f>
        <v>21282</v>
      </c>
      <c r="F35" s="163">
        <f t="shared" si="13"/>
        <v>539540</v>
      </c>
      <c r="G35" s="165">
        <f t="shared" si="14"/>
        <v>80704.176165094948</v>
      </c>
      <c r="H35" s="147">
        <f t="shared" si="15"/>
        <v>80704.176165094948</v>
      </c>
      <c r="I35" s="160">
        <f t="shared" si="0"/>
        <v>0</v>
      </c>
      <c r="J35" s="160"/>
      <c r="K35" s="335"/>
      <c r="L35" s="162">
        <f t="shared" si="1"/>
        <v>0</v>
      </c>
      <c r="M35" s="335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6"/>
        <v/>
      </c>
      <c r="C36" s="157">
        <f>IF(D11="","-",+C35+1)</f>
        <v>2028</v>
      </c>
      <c r="D36" s="166">
        <f>IF(F35+SUM(E$17:E35)=D$10,F35,D$10-SUM(E$17:E35))</f>
        <v>539540</v>
      </c>
      <c r="E36" s="164">
        <f>IF(+I14&lt;F35,I14,D36)</f>
        <v>21282</v>
      </c>
      <c r="F36" s="163">
        <f t="shared" si="13"/>
        <v>518258</v>
      </c>
      <c r="G36" s="165">
        <f t="shared" si="14"/>
        <v>78405.618502897327</v>
      </c>
      <c r="H36" s="147">
        <f t="shared" si="15"/>
        <v>78405.618502897327</v>
      </c>
      <c r="I36" s="160">
        <f t="shared" si="0"/>
        <v>0</v>
      </c>
      <c r="J36" s="160"/>
      <c r="K36" s="335"/>
      <c r="L36" s="162">
        <f t="shared" si="1"/>
        <v>0</v>
      </c>
      <c r="M36" s="335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6"/>
        <v/>
      </c>
      <c r="C37" s="157">
        <f>IF(D11="","-",+C36+1)</f>
        <v>2029</v>
      </c>
      <c r="D37" s="166">
        <f>IF(F36+SUM(E$17:E36)=D$10,F36,D$10-SUM(E$17:E36))</f>
        <v>518258</v>
      </c>
      <c r="E37" s="164">
        <f>IF(+I14&lt;F36,I14,D37)</f>
        <v>21282</v>
      </c>
      <c r="F37" s="163">
        <f t="shared" si="13"/>
        <v>496976</v>
      </c>
      <c r="G37" s="165">
        <f t="shared" si="14"/>
        <v>76107.060840699705</v>
      </c>
      <c r="H37" s="147">
        <f t="shared" si="15"/>
        <v>76107.060840699705</v>
      </c>
      <c r="I37" s="160">
        <f t="shared" si="0"/>
        <v>0</v>
      </c>
      <c r="J37" s="160"/>
      <c r="K37" s="335"/>
      <c r="L37" s="162">
        <f t="shared" si="1"/>
        <v>0</v>
      </c>
      <c r="M37" s="335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6"/>
        <v/>
      </c>
      <c r="C38" s="157">
        <f>IF(D11="","-",+C37+1)</f>
        <v>2030</v>
      </c>
      <c r="D38" s="166">
        <f>IF(F37+SUM(E$17:E37)=D$10,F37,D$10-SUM(E$17:E37))</f>
        <v>496976</v>
      </c>
      <c r="E38" s="164">
        <f>IF(+I14&lt;F37,I14,D38)</f>
        <v>21282</v>
      </c>
      <c r="F38" s="163">
        <f t="shared" si="13"/>
        <v>475694</v>
      </c>
      <c r="G38" s="165">
        <f t="shared" si="14"/>
        <v>73808.503178502084</v>
      </c>
      <c r="H38" s="147">
        <f t="shared" si="15"/>
        <v>73808.503178502084</v>
      </c>
      <c r="I38" s="160">
        <f t="shared" si="0"/>
        <v>0</v>
      </c>
      <c r="J38" s="160"/>
      <c r="K38" s="335"/>
      <c r="L38" s="162">
        <f t="shared" si="1"/>
        <v>0</v>
      </c>
      <c r="M38" s="335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6"/>
        <v/>
      </c>
      <c r="C39" s="157">
        <f>IF(D11="","-",+C38+1)</f>
        <v>2031</v>
      </c>
      <c r="D39" s="166">
        <f>IF(F38+SUM(E$17:E38)=D$10,F38,D$10-SUM(E$17:E38))</f>
        <v>475694</v>
      </c>
      <c r="E39" s="164">
        <f>IF(+I14&lt;F38,I14,D39)</f>
        <v>21282</v>
      </c>
      <c r="F39" s="163">
        <f t="shared" si="13"/>
        <v>454412</v>
      </c>
      <c r="G39" s="165">
        <f t="shared" si="14"/>
        <v>71509.945516304462</v>
      </c>
      <c r="H39" s="147">
        <f t="shared" si="15"/>
        <v>71509.945516304462</v>
      </c>
      <c r="I39" s="160">
        <f t="shared" si="0"/>
        <v>0</v>
      </c>
      <c r="J39" s="160"/>
      <c r="K39" s="335"/>
      <c r="L39" s="162">
        <f t="shared" si="1"/>
        <v>0</v>
      </c>
      <c r="M39" s="335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6"/>
        <v/>
      </c>
      <c r="C40" s="157">
        <f>IF(D11="","-",+C39+1)</f>
        <v>2032</v>
      </c>
      <c r="D40" s="166">
        <f>IF(F39+SUM(E$17:E39)=D$10,F39,D$10-SUM(E$17:E39))</f>
        <v>454412</v>
      </c>
      <c r="E40" s="164">
        <f>IF(+I14&lt;F39,I14,D40)</f>
        <v>21282</v>
      </c>
      <c r="F40" s="163">
        <f t="shared" si="13"/>
        <v>433130</v>
      </c>
      <c r="G40" s="165">
        <f t="shared" si="14"/>
        <v>69211.387854106841</v>
      </c>
      <c r="H40" s="147">
        <f t="shared" si="15"/>
        <v>69211.387854106841</v>
      </c>
      <c r="I40" s="160">
        <f t="shared" si="0"/>
        <v>0</v>
      </c>
      <c r="J40" s="160"/>
      <c r="K40" s="335"/>
      <c r="L40" s="162">
        <f t="shared" si="1"/>
        <v>0</v>
      </c>
      <c r="M40" s="335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6"/>
        <v/>
      </c>
      <c r="C41" s="157">
        <f>IF(D11="","-",+C40+1)</f>
        <v>2033</v>
      </c>
      <c r="D41" s="166">
        <f>IF(F40+SUM(E$17:E40)=D$10,F40,D$10-SUM(E$17:E40))</f>
        <v>433130</v>
      </c>
      <c r="E41" s="164">
        <f>IF(+I14&lt;F40,I14,D41)</f>
        <v>21282</v>
      </c>
      <c r="F41" s="163">
        <f t="shared" si="13"/>
        <v>411848</v>
      </c>
      <c r="G41" s="165">
        <f t="shared" si="14"/>
        <v>66912.830191909219</v>
      </c>
      <c r="H41" s="147">
        <f t="shared" si="15"/>
        <v>66912.830191909219</v>
      </c>
      <c r="I41" s="160">
        <f t="shared" si="0"/>
        <v>0</v>
      </c>
      <c r="J41" s="160"/>
      <c r="K41" s="335"/>
      <c r="L41" s="162">
        <f t="shared" si="1"/>
        <v>0</v>
      </c>
      <c r="M41" s="335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6"/>
        <v/>
      </c>
      <c r="C42" s="157">
        <f>IF(D11="","-",+C41+1)</f>
        <v>2034</v>
      </c>
      <c r="D42" s="166">
        <f>IF(F41+SUM(E$17:E41)=D$10,F41,D$10-SUM(E$17:E41))</f>
        <v>411848</v>
      </c>
      <c r="E42" s="164">
        <f>IF(+I14&lt;F41,I14,D42)</f>
        <v>21282</v>
      </c>
      <c r="F42" s="163">
        <f t="shared" si="13"/>
        <v>390566</v>
      </c>
      <c r="G42" s="165">
        <f t="shared" si="14"/>
        <v>64614.272529711583</v>
      </c>
      <c r="H42" s="147">
        <f t="shared" si="15"/>
        <v>64614.272529711583</v>
      </c>
      <c r="I42" s="160">
        <f t="shared" si="0"/>
        <v>0</v>
      </c>
      <c r="J42" s="160"/>
      <c r="K42" s="335"/>
      <c r="L42" s="162">
        <f t="shared" si="1"/>
        <v>0</v>
      </c>
      <c r="M42" s="335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6"/>
        <v/>
      </c>
      <c r="C43" s="157">
        <f>IF(D11="","-",+C42+1)</f>
        <v>2035</v>
      </c>
      <c r="D43" s="166">
        <f>IF(F42+SUM(E$17:E42)=D$10,F42,D$10-SUM(E$17:E42))</f>
        <v>390566</v>
      </c>
      <c r="E43" s="164">
        <f>IF(+I14&lt;F42,I14,D43)</f>
        <v>21282</v>
      </c>
      <c r="F43" s="163">
        <f t="shared" si="13"/>
        <v>369284</v>
      </c>
      <c r="G43" s="165">
        <f t="shared" si="14"/>
        <v>62315.714867513962</v>
      </c>
      <c r="H43" s="147">
        <f t="shared" si="15"/>
        <v>62315.714867513962</v>
      </c>
      <c r="I43" s="160">
        <f t="shared" si="0"/>
        <v>0</v>
      </c>
      <c r="J43" s="160"/>
      <c r="K43" s="335"/>
      <c r="L43" s="162">
        <f t="shared" si="1"/>
        <v>0</v>
      </c>
      <c r="M43" s="335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6"/>
        <v/>
      </c>
      <c r="C44" s="157">
        <f>IF(D11="","-",+C43+1)</f>
        <v>2036</v>
      </c>
      <c r="D44" s="166">
        <f>IF(F43+SUM(E$17:E43)=D$10,F43,D$10-SUM(E$17:E43))</f>
        <v>369284</v>
      </c>
      <c r="E44" s="164">
        <f>IF(+I14&lt;F43,I14,D44)</f>
        <v>21282</v>
      </c>
      <c r="F44" s="163">
        <f t="shared" si="13"/>
        <v>348002</v>
      </c>
      <c r="G44" s="165">
        <f t="shared" si="14"/>
        <v>60017.15720531634</v>
      </c>
      <c r="H44" s="147">
        <f t="shared" si="15"/>
        <v>60017.15720531634</v>
      </c>
      <c r="I44" s="160">
        <f t="shared" si="0"/>
        <v>0</v>
      </c>
      <c r="J44" s="160"/>
      <c r="K44" s="335"/>
      <c r="L44" s="162">
        <f t="shared" si="1"/>
        <v>0</v>
      </c>
      <c r="M44" s="335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6"/>
        <v/>
      </c>
      <c r="C45" s="157">
        <f>IF(D11="","-",+C44+1)</f>
        <v>2037</v>
      </c>
      <c r="D45" s="166">
        <f>IF(F44+SUM(E$17:E44)=D$10,F44,D$10-SUM(E$17:E44))</f>
        <v>348002</v>
      </c>
      <c r="E45" s="164">
        <f>IF(+I14&lt;F44,I14,D45)</f>
        <v>21282</v>
      </c>
      <c r="F45" s="163">
        <f t="shared" si="13"/>
        <v>326720</v>
      </c>
      <c r="G45" s="165">
        <f t="shared" si="14"/>
        <v>57718.599543118711</v>
      </c>
      <c r="H45" s="147">
        <f t="shared" si="15"/>
        <v>57718.599543118711</v>
      </c>
      <c r="I45" s="160">
        <f t="shared" si="0"/>
        <v>0</v>
      </c>
      <c r="J45" s="160"/>
      <c r="K45" s="335"/>
      <c r="L45" s="162">
        <f t="shared" si="1"/>
        <v>0</v>
      </c>
      <c r="M45" s="335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6"/>
        <v/>
      </c>
      <c r="C46" s="157">
        <f>IF(D11="","-",+C45+1)</f>
        <v>2038</v>
      </c>
      <c r="D46" s="166">
        <f>IF(F45+SUM(E$17:E45)=D$10,F45,D$10-SUM(E$17:E45))</f>
        <v>326720</v>
      </c>
      <c r="E46" s="164">
        <f>IF(+I14&lt;F45,I14,D46)</f>
        <v>21282</v>
      </c>
      <c r="F46" s="163">
        <f t="shared" si="13"/>
        <v>305438</v>
      </c>
      <c r="G46" s="165">
        <f t="shared" si="14"/>
        <v>55420.04188092109</v>
      </c>
      <c r="H46" s="147">
        <f t="shared" si="15"/>
        <v>55420.04188092109</v>
      </c>
      <c r="I46" s="160">
        <f t="shared" si="0"/>
        <v>0</v>
      </c>
      <c r="J46" s="160"/>
      <c r="K46" s="335"/>
      <c r="L46" s="162">
        <f t="shared" si="1"/>
        <v>0</v>
      </c>
      <c r="M46" s="335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6"/>
        <v/>
      </c>
      <c r="C47" s="157">
        <f>IF(D11="","-",+C46+1)</f>
        <v>2039</v>
      </c>
      <c r="D47" s="166">
        <f>IF(F46+SUM(E$17:E46)=D$10,F46,D$10-SUM(E$17:E46))</f>
        <v>305438</v>
      </c>
      <c r="E47" s="164">
        <f>IF(+I14&lt;F46,I14,D47)</f>
        <v>21282</v>
      </c>
      <c r="F47" s="163">
        <f t="shared" si="13"/>
        <v>284156</v>
      </c>
      <c r="G47" s="165">
        <f t="shared" si="14"/>
        <v>53121.484218723468</v>
      </c>
      <c r="H47" s="147">
        <f t="shared" si="15"/>
        <v>53121.484218723468</v>
      </c>
      <c r="I47" s="160">
        <f t="shared" si="0"/>
        <v>0</v>
      </c>
      <c r="J47" s="160"/>
      <c r="K47" s="335"/>
      <c r="L47" s="162">
        <f t="shared" si="1"/>
        <v>0</v>
      </c>
      <c r="M47" s="335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6"/>
        <v/>
      </c>
      <c r="C48" s="157">
        <f>IF(D11="","-",+C47+1)</f>
        <v>2040</v>
      </c>
      <c r="D48" s="166">
        <f>IF(F47+SUM(E$17:E47)=D$10,F47,D$10-SUM(E$17:E47))</f>
        <v>284156</v>
      </c>
      <c r="E48" s="164">
        <f>IF(+I14&lt;F47,I14,D48)</f>
        <v>21282</v>
      </c>
      <c r="F48" s="163">
        <f t="shared" si="13"/>
        <v>262874</v>
      </c>
      <c r="G48" s="165">
        <f t="shared" si="14"/>
        <v>50822.926556525839</v>
      </c>
      <c r="H48" s="147">
        <f t="shared" si="15"/>
        <v>50822.926556525839</v>
      </c>
      <c r="I48" s="160">
        <f t="shared" si="0"/>
        <v>0</v>
      </c>
      <c r="J48" s="160"/>
      <c r="K48" s="335"/>
      <c r="L48" s="162">
        <f t="shared" si="1"/>
        <v>0</v>
      </c>
      <c r="M48" s="335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6"/>
        <v/>
      </c>
      <c r="C49" s="157">
        <f>IF(D11="","-",+C48+1)</f>
        <v>2041</v>
      </c>
      <c r="D49" s="166">
        <f>IF(F48+SUM(E$17:E48)=D$10,F48,D$10-SUM(E$17:E48))</f>
        <v>262874</v>
      </c>
      <c r="E49" s="164">
        <f>IF(+I14&lt;F48,I14,D49)</f>
        <v>21282</v>
      </c>
      <c r="F49" s="163">
        <f t="shared" ref="F49:F72" si="16">+D49-E49</f>
        <v>241592</v>
      </c>
      <c r="G49" s="165">
        <f t="shared" si="14"/>
        <v>48524.368894328218</v>
      </c>
      <c r="H49" s="147">
        <f t="shared" si="15"/>
        <v>48524.368894328218</v>
      </c>
      <c r="I49" s="160">
        <f t="shared" ref="I49:I72" si="17">H49-G49</f>
        <v>0</v>
      </c>
      <c r="J49" s="160"/>
      <c r="K49" s="335"/>
      <c r="L49" s="162">
        <f t="shared" ref="L49:L72" si="18">IF(K49&lt;&gt;0,+G49-K49,0)</f>
        <v>0</v>
      </c>
      <c r="M49" s="335"/>
      <c r="N49" s="162">
        <f t="shared" ref="N49:N72" si="19">IF(M49&lt;&gt;0,+H49-M49,0)</f>
        <v>0</v>
      </c>
      <c r="O49" s="162">
        <f t="shared" ref="O49:O72" si="20">+N49-L49</f>
        <v>0</v>
      </c>
      <c r="P49" s="4"/>
    </row>
    <row r="50" spans="2:16">
      <c r="B50" s="9" t="str">
        <f t="shared" si="6"/>
        <v/>
      </c>
      <c r="C50" s="157">
        <f>IF(D11="","-",+C49+1)</f>
        <v>2042</v>
      </c>
      <c r="D50" s="166">
        <f>IF(F49+SUM(E$17:E49)=D$10,F49,D$10-SUM(E$17:E49))</f>
        <v>241592</v>
      </c>
      <c r="E50" s="164">
        <f>IF(+I14&lt;F49,I14,D50)</f>
        <v>21282</v>
      </c>
      <c r="F50" s="163">
        <f t="shared" si="16"/>
        <v>220310</v>
      </c>
      <c r="G50" s="165">
        <f t="shared" si="14"/>
        <v>46225.811232130596</v>
      </c>
      <c r="H50" s="147">
        <f t="shared" si="15"/>
        <v>46225.811232130596</v>
      </c>
      <c r="I50" s="160">
        <f t="shared" si="17"/>
        <v>0</v>
      </c>
      <c r="J50" s="160"/>
      <c r="K50" s="335"/>
      <c r="L50" s="162">
        <f t="shared" si="18"/>
        <v>0</v>
      </c>
      <c r="M50" s="335"/>
      <c r="N50" s="162">
        <f t="shared" si="19"/>
        <v>0</v>
      </c>
      <c r="O50" s="162">
        <f t="shared" si="20"/>
        <v>0</v>
      </c>
      <c r="P50" s="4"/>
    </row>
    <row r="51" spans="2:16">
      <c r="B51" s="9" t="str">
        <f t="shared" si="6"/>
        <v/>
      </c>
      <c r="C51" s="157">
        <f>IF(D11="","-",+C50+1)</f>
        <v>2043</v>
      </c>
      <c r="D51" s="166">
        <f>IF(F50+SUM(E$17:E50)=D$10,F50,D$10-SUM(E$17:E50))</f>
        <v>220310</v>
      </c>
      <c r="E51" s="164">
        <f>IF(+I14&lt;F50,I14,D51)</f>
        <v>21282</v>
      </c>
      <c r="F51" s="163">
        <f t="shared" si="16"/>
        <v>199028</v>
      </c>
      <c r="G51" s="165">
        <f t="shared" si="14"/>
        <v>43927.253569932975</v>
      </c>
      <c r="H51" s="147">
        <f t="shared" si="15"/>
        <v>43927.253569932975</v>
      </c>
      <c r="I51" s="160">
        <f t="shared" si="17"/>
        <v>0</v>
      </c>
      <c r="J51" s="160"/>
      <c r="K51" s="335"/>
      <c r="L51" s="162">
        <f t="shared" si="18"/>
        <v>0</v>
      </c>
      <c r="M51" s="335"/>
      <c r="N51" s="162">
        <f t="shared" si="19"/>
        <v>0</v>
      </c>
      <c r="O51" s="162">
        <f t="shared" si="20"/>
        <v>0</v>
      </c>
      <c r="P51" s="4"/>
    </row>
    <row r="52" spans="2:16">
      <c r="B52" s="9" t="str">
        <f t="shared" si="6"/>
        <v/>
      </c>
      <c r="C52" s="157">
        <f>IF(D11="","-",+C51+1)</f>
        <v>2044</v>
      </c>
      <c r="D52" s="166">
        <f>IF(F51+SUM(E$17:E51)=D$10,F51,D$10-SUM(E$17:E51))</f>
        <v>199028</v>
      </c>
      <c r="E52" s="164">
        <f>IF(+I14&lt;F51,I14,D52)</f>
        <v>21282</v>
      </c>
      <c r="F52" s="163">
        <f t="shared" si="16"/>
        <v>177746</v>
      </c>
      <c r="G52" s="165">
        <f t="shared" si="14"/>
        <v>41628.695907735353</v>
      </c>
      <c r="H52" s="147">
        <f t="shared" si="15"/>
        <v>41628.695907735353</v>
      </c>
      <c r="I52" s="160">
        <f t="shared" si="17"/>
        <v>0</v>
      </c>
      <c r="J52" s="160"/>
      <c r="K52" s="335"/>
      <c r="L52" s="162">
        <f t="shared" si="18"/>
        <v>0</v>
      </c>
      <c r="M52" s="335"/>
      <c r="N52" s="162">
        <f t="shared" si="19"/>
        <v>0</v>
      </c>
      <c r="O52" s="162">
        <f t="shared" si="20"/>
        <v>0</v>
      </c>
      <c r="P52" s="4"/>
    </row>
    <row r="53" spans="2:16">
      <c r="B53" s="9" t="str">
        <f t="shared" si="6"/>
        <v/>
      </c>
      <c r="C53" s="157">
        <f>IF(D11="","-",+C52+1)</f>
        <v>2045</v>
      </c>
      <c r="D53" s="166">
        <f>IF(F52+SUM(E$17:E52)=D$10,F52,D$10-SUM(E$17:E52))</f>
        <v>177746</v>
      </c>
      <c r="E53" s="164">
        <f>IF(+I14&lt;F52,I14,D53)</f>
        <v>21282</v>
      </c>
      <c r="F53" s="163">
        <f t="shared" si="16"/>
        <v>156464</v>
      </c>
      <c r="G53" s="165">
        <f t="shared" si="14"/>
        <v>39330.138245537724</v>
      </c>
      <c r="H53" s="147">
        <f t="shared" si="15"/>
        <v>39330.138245537724</v>
      </c>
      <c r="I53" s="160">
        <f t="shared" si="17"/>
        <v>0</v>
      </c>
      <c r="J53" s="160"/>
      <c r="K53" s="335"/>
      <c r="L53" s="162">
        <f t="shared" si="18"/>
        <v>0</v>
      </c>
      <c r="M53" s="335"/>
      <c r="N53" s="162">
        <f t="shared" si="19"/>
        <v>0</v>
      </c>
      <c r="O53" s="162">
        <f t="shared" si="20"/>
        <v>0</v>
      </c>
      <c r="P53" s="4"/>
    </row>
    <row r="54" spans="2:16">
      <c r="B54" s="9" t="str">
        <f t="shared" si="6"/>
        <v/>
      </c>
      <c r="C54" s="157">
        <f>IF(D11="","-",+C53+1)</f>
        <v>2046</v>
      </c>
      <c r="D54" s="166">
        <f>IF(F53+SUM(E$17:E53)=D$10,F53,D$10-SUM(E$17:E53))</f>
        <v>156464</v>
      </c>
      <c r="E54" s="164">
        <f>IF(+I14&lt;F53,I14,D54)</f>
        <v>21282</v>
      </c>
      <c r="F54" s="163">
        <f t="shared" si="16"/>
        <v>135182</v>
      </c>
      <c r="G54" s="165">
        <f t="shared" si="14"/>
        <v>37031.580583340103</v>
      </c>
      <c r="H54" s="147">
        <f t="shared" si="15"/>
        <v>37031.580583340103</v>
      </c>
      <c r="I54" s="160">
        <f t="shared" si="17"/>
        <v>0</v>
      </c>
      <c r="J54" s="160"/>
      <c r="K54" s="335"/>
      <c r="L54" s="162">
        <f t="shared" si="18"/>
        <v>0</v>
      </c>
      <c r="M54" s="335"/>
      <c r="N54" s="162">
        <f t="shared" si="19"/>
        <v>0</v>
      </c>
      <c r="O54" s="162">
        <f t="shared" si="20"/>
        <v>0</v>
      </c>
      <c r="P54" s="4"/>
    </row>
    <row r="55" spans="2:16">
      <c r="B55" s="9" t="str">
        <f t="shared" si="6"/>
        <v/>
      </c>
      <c r="C55" s="157">
        <f>IF(D11="","-",+C54+1)</f>
        <v>2047</v>
      </c>
      <c r="D55" s="166">
        <f>IF(F54+SUM(E$17:E54)=D$10,F54,D$10-SUM(E$17:E54))</f>
        <v>135182</v>
      </c>
      <c r="E55" s="164">
        <f>IF(+I14&lt;F54,I14,D55)</f>
        <v>21282</v>
      </c>
      <c r="F55" s="163">
        <f t="shared" si="16"/>
        <v>113900</v>
      </c>
      <c r="G55" s="165">
        <f t="shared" si="14"/>
        <v>34733.022921142481</v>
      </c>
      <c r="H55" s="147">
        <f t="shared" si="15"/>
        <v>34733.022921142481</v>
      </c>
      <c r="I55" s="160">
        <f t="shared" si="17"/>
        <v>0</v>
      </c>
      <c r="J55" s="160"/>
      <c r="K55" s="335"/>
      <c r="L55" s="162">
        <f t="shared" si="18"/>
        <v>0</v>
      </c>
      <c r="M55" s="335"/>
      <c r="N55" s="162">
        <f t="shared" si="19"/>
        <v>0</v>
      </c>
      <c r="O55" s="162">
        <f t="shared" si="20"/>
        <v>0</v>
      </c>
      <c r="P55" s="4"/>
    </row>
    <row r="56" spans="2:16">
      <c r="B56" s="9" t="str">
        <f t="shared" si="6"/>
        <v/>
      </c>
      <c r="C56" s="157">
        <f>IF(D11="","-",+C55+1)</f>
        <v>2048</v>
      </c>
      <c r="D56" s="166">
        <f>IF(F55+SUM(E$17:E55)=D$10,F55,D$10-SUM(E$17:E55))</f>
        <v>113900</v>
      </c>
      <c r="E56" s="164">
        <f>IF(+I14&lt;F55,I14,D56)</f>
        <v>21282</v>
      </c>
      <c r="F56" s="163">
        <f t="shared" si="16"/>
        <v>92618</v>
      </c>
      <c r="G56" s="165">
        <f t="shared" si="14"/>
        <v>32434.465258944856</v>
      </c>
      <c r="H56" s="147">
        <f t="shared" si="15"/>
        <v>32434.465258944856</v>
      </c>
      <c r="I56" s="160">
        <f t="shared" si="17"/>
        <v>0</v>
      </c>
      <c r="J56" s="160"/>
      <c r="K56" s="335"/>
      <c r="L56" s="162">
        <f t="shared" si="18"/>
        <v>0</v>
      </c>
      <c r="M56" s="335"/>
      <c r="N56" s="162">
        <f t="shared" si="19"/>
        <v>0</v>
      </c>
      <c r="O56" s="162">
        <f t="shared" si="20"/>
        <v>0</v>
      </c>
      <c r="P56" s="4"/>
    </row>
    <row r="57" spans="2:16">
      <c r="B57" s="9" t="str">
        <f t="shared" si="6"/>
        <v/>
      </c>
      <c r="C57" s="157">
        <f>IF(D11="","-",+C56+1)</f>
        <v>2049</v>
      </c>
      <c r="D57" s="166">
        <f>IF(F56+SUM(E$17:E56)=D$10,F56,D$10-SUM(E$17:E56))</f>
        <v>92618</v>
      </c>
      <c r="E57" s="164">
        <f>IF(+I14&lt;F56,I14,D57)</f>
        <v>21282</v>
      </c>
      <c r="F57" s="163">
        <f t="shared" si="16"/>
        <v>71336</v>
      </c>
      <c r="G57" s="165">
        <f t="shared" si="14"/>
        <v>30135.907596747231</v>
      </c>
      <c r="H57" s="147">
        <f t="shared" si="15"/>
        <v>30135.907596747231</v>
      </c>
      <c r="I57" s="160">
        <f t="shared" si="17"/>
        <v>0</v>
      </c>
      <c r="J57" s="160"/>
      <c r="K57" s="335"/>
      <c r="L57" s="162">
        <f t="shared" si="18"/>
        <v>0</v>
      </c>
      <c r="M57" s="335"/>
      <c r="N57" s="162">
        <f t="shared" si="19"/>
        <v>0</v>
      </c>
      <c r="O57" s="162">
        <f t="shared" si="20"/>
        <v>0</v>
      </c>
      <c r="P57" s="4"/>
    </row>
    <row r="58" spans="2:16">
      <c r="B58" s="9" t="str">
        <f t="shared" si="6"/>
        <v/>
      </c>
      <c r="C58" s="157">
        <f>IF(D11="","-",+C57+1)</f>
        <v>2050</v>
      </c>
      <c r="D58" s="166">
        <f>IF(F57+SUM(E$17:E57)=D$10,F57,D$10-SUM(E$17:E57))</f>
        <v>71336</v>
      </c>
      <c r="E58" s="164">
        <f>IF(+I14&lt;F57,I14,D58)</f>
        <v>21282</v>
      </c>
      <c r="F58" s="163">
        <f t="shared" si="16"/>
        <v>50054</v>
      </c>
      <c r="G58" s="165">
        <f t="shared" si="14"/>
        <v>27837.349934549609</v>
      </c>
      <c r="H58" s="147">
        <f t="shared" si="15"/>
        <v>27837.349934549609</v>
      </c>
      <c r="I58" s="160">
        <f t="shared" si="17"/>
        <v>0</v>
      </c>
      <c r="J58" s="160"/>
      <c r="K58" s="335"/>
      <c r="L58" s="162">
        <f t="shared" si="18"/>
        <v>0</v>
      </c>
      <c r="M58" s="335"/>
      <c r="N58" s="162">
        <f t="shared" si="19"/>
        <v>0</v>
      </c>
      <c r="O58" s="162">
        <f t="shared" si="20"/>
        <v>0</v>
      </c>
      <c r="P58" s="4"/>
    </row>
    <row r="59" spans="2:16">
      <c r="B59" s="9" t="str">
        <f t="shared" si="6"/>
        <v/>
      </c>
      <c r="C59" s="157">
        <f>IF(D11="","-",+C58+1)</f>
        <v>2051</v>
      </c>
      <c r="D59" s="166">
        <f>IF(F58+SUM(E$17:E58)=D$10,F58,D$10-SUM(E$17:E58))</f>
        <v>50054</v>
      </c>
      <c r="E59" s="164">
        <f>IF(+I14&lt;F58,I14,D59)</f>
        <v>21282</v>
      </c>
      <c r="F59" s="163">
        <f t="shared" si="16"/>
        <v>28772</v>
      </c>
      <c r="G59" s="165">
        <f t="shared" si="14"/>
        <v>25538.792272351984</v>
      </c>
      <c r="H59" s="147">
        <f t="shared" si="15"/>
        <v>25538.792272351984</v>
      </c>
      <c r="I59" s="160">
        <f t="shared" si="17"/>
        <v>0</v>
      </c>
      <c r="J59" s="160"/>
      <c r="K59" s="335"/>
      <c r="L59" s="162">
        <f t="shared" si="18"/>
        <v>0</v>
      </c>
      <c r="M59" s="335"/>
      <c r="N59" s="162">
        <f t="shared" si="19"/>
        <v>0</v>
      </c>
      <c r="O59" s="162">
        <f t="shared" si="20"/>
        <v>0</v>
      </c>
      <c r="P59" s="4"/>
    </row>
    <row r="60" spans="2:16">
      <c r="B60" s="9" t="str">
        <f t="shared" si="6"/>
        <v/>
      </c>
      <c r="C60" s="157">
        <f>IF(D11="","-",+C59+1)</f>
        <v>2052</v>
      </c>
      <c r="D60" s="166">
        <f>IF(F59+SUM(E$17:E59)=D$10,F59,D$10-SUM(E$17:E59))</f>
        <v>28772</v>
      </c>
      <c r="E60" s="164">
        <f>IF(+I14&lt;F59,I14,D60)</f>
        <v>21282</v>
      </c>
      <c r="F60" s="163">
        <f t="shared" si="16"/>
        <v>7490</v>
      </c>
      <c r="G60" s="165">
        <f t="shared" si="14"/>
        <v>23240.234610154363</v>
      </c>
      <c r="H60" s="147">
        <f t="shared" si="15"/>
        <v>23240.234610154363</v>
      </c>
      <c r="I60" s="160">
        <f t="shared" si="17"/>
        <v>0</v>
      </c>
      <c r="J60" s="160"/>
      <c r="K60" s="335"/>
      <c r="L60" s="162">
        <f t="shared" si="18"/>
        <v>0</v>
      </c>
      <c r="M60" s="335"/>
      <c r="N60" s="162">
        <f t="shared" si="19"/>
        <v>0</v>
      </c>
      <c r="O60" s="162">
        <f t="shared" si="20"/>
        <v>0</v>
      </c>
      <c r="P60" s="4"/>
    </row>
    <row r="61" spans="2:16">
      <c r="B61" s="9" t="str">
        <f t="shared" si="6"/>
        <v/>
      </c>
      <c r="C61" s="157">
        <f>IF(D11="","-",+C60+1)</f>
        <v>2053</v>
      </c>
      <c r="D61" s="166">
        <f>IF(F60+SUM(E$17:E60)=D$10,F60,D$10-SUM(E$17:E60))</f>
        <v>7490</v>
      </c>
      <c r="E61" s="164">
        <f>IF(+I14&lt;F60,I14,D61)</f>
        <v>7490</v>
      </c>
      <c r="F61" s="163">
        <f t="shared" si="16"/>
        <v>0</v>
      </c>
      <c r="G61" s="165">
        <f t="shared" si="14"/>
        <v>7894.477889527775</v>
      </c>
      <c r="H61" s="147">
        <f t="shared" si="15"/>
        <v>7894.477889527775</v>
      </c>
      <c r="I61" s="160">
        <f t="shared" si="17"/>
        <v>0</v>
      </c>
      <c r="J61" s="160"/>
      <c r="K61" s="335"/>
      <c r="L61" s="162">
        <f t="shared" si="18"/>
        <v>0</v>
      </c>
      <c r="M61" s="335"/>
      <c r="N61" s="162">
        <f t="shared" si="19"/>
        <v>0</v>
      </c>
      <c r="O61" s="162">
        <f t="shared" si="20"/>
        <v>0</v>
      </c>
      <c r="P61" s="4"/>
    </row>
    <row r="62" spans="2:16">
      <c r="B62" s="9" t="str">
        <f t="shared" si="6"/>
        <v/>
      </c>
      <c r="C62" s="157">
        <f>IF(D11="","-",+C61+1)</f>
        <v>2054</v>
      </c>
      <c r="D62" s="166">
        <f>IF(F61+SUM(E$17:E61)=D$10,F61,D$10-SUM(E$17:E61))</f>
        <v>0</v>
      </c>
      <c r="E62" s="164">
        <f>IF(+I14&lt;F61,I14,D62)</f>
        <v>0</v>
      </c>
      <c r="F62" s="163">
        <f t="shared" si="16"/>
        <v>0</v>
      </c>
      <c r="G62" s="165">
        <f t="shared" si="14"/>
        <v>0</v>
      </c>
      <c r="H62" s="147">
        <f t="shared" si="15"/>
        <v>0</v>
      </c>
      <c r="I62" s="160">
        <f t="shared" si="17"/>
        <v>0</v>
      </c>
      <c r="J62" s="160"/>
      <c r="K62" s="335"/>
      <c r="L62" s="162">
        <f t="shared" si="18"/>
        <v>0</v>
      </c>
      <c r="M62" s="335"/>
      <c r="N62" s="162">
        <f t="shared" si="19"/>
        <v>0</v>
      </c>
      <c r="O62" s="162">
        <f t="shared" si="20"/>
        <v>0</v>
      </c>
      <c r="P62" s="4"/>
    </row>
    <row r="63" spans="2:16">
      <c r="B63" s="9" t="str">
        <f t="shared" si="6"/>
        <v/>
      </c>
      <c r="C63" s="157">
        <f>IF(D11="","-",+C62+1)</f>
        <v>2055</v>
      </c>
      <c r="D63" s="166">
        <f>IF(F62+SUM(E$17:E62)=D$10,F62,D$10-SUM(E$17:E62))</f>
        <v>0</v>
      </c>
      <c r="E63" s="164">
        <f>IF(+I14&lt;F62,I14,D63)</f>
        <v>0</v>
      </c>
      <c r="F63" s="163">
        <f t="shared" si="16"/>
        <v>0</v>
      </c>
      <c r="G63" s="165">
        <f t="shared" si="14"/>
        <v>0</v>
      </c>
      <c r="H63" s="147">
        <f t="shared" si="15"/>
        <v>0</v>
      </c>
      <c r="I63" s="160">
        <f t="shared" si="17"/>
        <v>0</v>
      </c>
      <c r="J63" s="160"/>
      <c r="K63" s="335"/>
      <c r="L63" s="162">
        <f t="shared" si="18"/>
        <v>0</v>
      </c>
      <c r="M63" s="335"/>
      <c r="N63" s="162">
        <f t="shared" si="19"/>
        <v>0</v>
      </c>
      <c r="O63" s="162">
        <f t="shared" si="20"/>
        <v>0</v>
      </c>
      <c r="P63" s="4"/>
    </row>
    <row r="64" spans="2:16">
      <c r="B64" s="9" t="str">
        <f t="shared" si="6"/>
        <v/>
      </c>
      <c r="C64" s="157">
        <f>IF(D11="","-",+C63+1)</f>
        <v>2056</v>
      </c>
      <c r="D64" s="166">
        <f>IF(F63+SUM(E$17:E63)=D$10,F63,D$10-SUM(E$17:E63))</f>
        <v>0</v>
      </c>
      <c r="E64" s="164">
        <f>IF(+I14&lt;F63,I14,D64)</f>
        <v>0</v>
      </c>
      <c r="F64" s="163">
        <f t="shared" si="16"/>
        <v>0</v>
      </c>
      <c r="G64" s="165">
        <f t="shared" si="14"/>
        <v>0</v>
      </c>
      <c r="H64" s="147">
        <f t="shared" si="15"/>
        <v>0</v>
      </c>
      <c r="I64" s="160">
        <f t="shared" si="17"/>
        <v>0</v>
      </c>
      <c r="J64" s="160"/>
      <c r="K64" s="335"/>
      <c r="L64" s="162">
        <f t="shared" si="18"/>
        <v>0</v>
      </c>
      <c r="M64" s="335"/>
      <c r="N64" s="162">
        <f t="shared" si="19"/>
        <v>0</v>
      </c>
      <c r="O64" s="162">
        <f t="shared" si="20"/>
        <v>0</v>
      </c>
      <c r="P64" s="4"/>
    </row>
    <row r="65" spans="1:16">
      <c r="B65" s="9" t="str">
        <f t="shared" si="6"/>
        <v/>
      </c>
      <c r="C65" s="157">
        <f>IF(D11="","-",+C64+1)</f>
        <v>2057</v>
      </c>
      <c r="D65" s="166">
        <f>IF(F64+SUM(E$17:E64)=D$10,F64,D$10-SUM(E$17:E64))</f>
        <v>0</v>
      </c>
      <c r="E65" s="164">
        <f>IF(+I14&lt;F64,I14,D65)</f>
        <v>0</v>
      </c>
      <c r="F65" s="163">
        <f t="shared" si="16"/>
        <v>0</v>
      </c>
      <c r="G65" s="165">
        <f t="shared" si="14"/>
        <v>0</v>
      </c>
      <c r="H65" s="147">
        <f t="shared" si="15"/>
        <v>0</v>
      </c>
      <c r="I65" s="160">
        <f t="shared" si="17"/>
        <v>0</v>
      </c>
      <c r="J65" s="160"/>
      <c r="K65" s="335"/>
      <c r="L65" s="162">
        <f t="shared" si="18"/>
        <v>0</v>
      </c>
      <c r="M65" s="335"/>
      <c r="N65" s="162">
        <f t="shared" si="19"/>
        <v>0</v>
      </c>
      <c r="O65" s="162">
        <f t="shared" si="20"/>
        <v>0</v>
      </c>
      <c r="P65" s="4"/>
    </row>
    <row r="66" spans="1:16">
      <c r="B66" s="9" t="str">
        <f t="shared" si="6"/>
        <v/>
      </c>
      <c r="C66" s="157">
        <f>IF(D11="","-",+C65+1)</f>
        <v>2058</v>
      </c>
      <c r="D66" s="166">
        <f>IF(F65+SUM(E$17:E65)=D$10,F65,D$10-SUM(E$17:E65))</f>
        <v>0</v>
      </c>
      <c r="E66" s="164">
        <f>IF(+I14&lt;F65,I14,D66)</f>
        <v>0</v>
      </c>
      <c r="F66" s="163">
        <f t="shared" si="16"/>
        <v>0</v>
      </c>
      <c r="G66" s="165">
        <f t="shared" si="14"/>
        <v>0</v>
      </c>
      <c r="H66" s="147">
        <f t="shared" si="15"/>
        <v>0</v>
      </c>
      <c r="I66" s="160">
        <f t="shared" si="17"/>
        <v>0</v>
      </c>
      <c r="J66" s="160"/>
      <c r="K66" s="335"/>
      <c r="L66" s="162">
        <f t="shared" si="18"/>
        <v>0</v>
      </c>
      <c r="M66" s="335"/>
      <c r="N66" s="162">
        <f t="shared" si="19"/>
        <v>0</v>
      </c>
      <c r="O66" s="162">
        <f t="shared" si="20"/>
        <v>0</v>
      </c>
      <c r="P66" s="4"/>
    </row>
    <row r="67" spans="1:16">
      <c r="B67" s="9" t="str">
        <f t="shared" si="6"/>
        <v/>
      </c>
      <c r="C67" s="157">
        <f>IF(D11="","-",+C66+1)</f>
        <v>2059</v>
      </c>
      <c r="D67" s="166">
        <f>IF(F66+SUM(E$17:E66)=D$10,F66,D$10-SUM(E$17:E66))</f>
        <v>0</v>
      </c>
      <c r="E67" s="164">
        <f>IF(+I14&lt;F66,I14,D67)</f>
        <v>0</v>
      </c>
      <c r="F67" s="163">
        <f t="shared" si="16"/>
        <v>0</v>
      </c>
      <c r="G67" s="165">
        <f t="shared" si="14"/>
        <v>0</v>
      </c>
      <c r="H67" s="147">
        <f t="shared" si="15"/>
        <v>0</v>
      </c>
      <c r="I67" s="160">
        <f t="shared" si="17"/>
        <v>0</v>
      </c>
      <c r="J67" s="160"/>
      <c r="K67" s="335"/>
      <c r="L67" s="162">
        <f t="shared" si="18"/>
        <v>0</v>
      </c>
      <c r="M67" s="335"/>
      <c r="N67" s="162">
        <f t="shared" si="19"/>
        <v>0</v>
      </c>
      <c r="O67" s="162">
        <f t="shared" si="20"/>
        <v>0</v>
      </c>
      <c r="P67" s="4"/>
    </row>
    <row r="68" spans="1:16">
      <c r="B68" s="9" t="str">
        <f t="shared" si="6"/>
        <v/>
      </c>
      <c r="C68" s="157">
        <f>IF(D11="","-",+C67+1)</f>
        <v>2060</v>
      </c>
      <c r="D68" s="166">
        <f>IF(F67+SUM(E$17:E67)=D$10,F67,D$10-SUM(E$17:E67))</f>
        <v>0</v>
      </c>
      <c r="E68" s="164">
        <f>IF(+I14&lt;F67,I14,D68)</f>
        <v>0</v>
      </c>
      <c r="F68" s="163">
        <f t="shared" si="16"/>
        <v>0</v>
      </c>
      <c r="G68" s="165">
        <f t="shared" si="14"/>
        <v>0</v>
      </c>
      <c r="H68" s="147">
        <f t="shared" si="15"/>
        <v>0</v>
      </c>
      <c r="I68" s="160">
        <f t="shared" si="17"/>
        <v>0</v>
      </c>
      <c r="J68" s="160"/>
      <c r="K68" s="335"/>
      <c r="L68" s="162">
        <f t="shared" si="18"/>
        <v>0</v>
      </c>
      <c r="M68" s="335"/>
      <c r="N68" s="162">
        <f t="shared" si="19"/>
        <v>0</v>
      </c>
      <c r="O68" s="162">
        <f t="shared" si="20"/>
        <v>0</v>
      </c>
      <c r="P68" s="4"/>
    </row>
    <row r="69" spans="1:16">
      <c r="B69" s="9" t="str">
        <f t="shared" si="6"/>
        <v/>
      </c>
      <c r="C69" s="157">
        <f>IF(D11="","-",+C68+1)</f>
        <v>2061</v>
      </c>
      <c r="D69" s="166">
        <f>IF(F68+SUM(E$17:E68)=D$10,F68,D$10-SUM(E$17:E68))</f>
        <v>0</v>
      </c>
      <c r="E69" s="164">
        <f>IF(+I14&lt;F68,I14,D69)</f>
        <v>0</v>
      </c>
      <c r="F69" s="163">
        <f t="shared" si="16"/>
        <v>0</v>
      </c>
      <c r="G69" s="165">
        <f t="shared" si="14"/>
        <v>0</v>
      </c>
      <c r="H69" s="147">
        <f t="shared" si="15"/>
        <v>0</v>
      </c>
      <c r="I69" s="160">
        <f t="shared" si="17"/>
        <v>0</v>
      </c>
      <c r="J69" s="160"/>
      <c r="K69" s="335"/>
      <c r="L69" s="162">
        <f t="shared" si="18"/>
        <v>0</v>
      </c>
      <c r="M69" s="335"/>
      <c r="N69" s="162">
        <f t="shared" si="19"/>
        <v>0</v>
      </c>
      <c r="O69" s="162">
        <f t="shared" si="20"/>
        <v>0</v>
      </c>
      <c r="P69" s="4"/>
    </row>
    <row r="70" spans="1:16">
      <c r="B70" s="9" t="str">
        <f t="shared" si="6"/>
        <v/>
      </c>
      <c r="C70" s="157">
        <f>IF(D11="","-",+C69+1)</f>
        <v>2062</v>
      </c>
      <c r="D70" s="166">
        <f>IF(F69+SUM(E$17:E69)=D$10,F69,D$10-SUM(E$17:E69))</f>
        <v>0</v>
      </c>
      <c r="E70" s="164">
        <f>IF(+I14&lt;F69,I14,D70)</f>
        <v>0</v>
      </c>
      <c r="F70" s="163">
        <f t="shared" si="16"/>
        <v>0</v>
      </c>
      <c r="G70" s="165">
        <f t="shared" si="14"/>
        <v>0</v>
      </c>
      <c r="H70" s="147">
        <f t="shared" si="15"/>
        <v>0</v>
      </c>
      <c r="I70" s="160">
        <f t="shared" si="17"/>
        <v>0</v>
      </c>
      <c r="J70" s="160"/>
      <c r="K70" s="335"/>
      <c r="L70" s="162">
        <f t="shared" si="18"/>
        <v>0</v>
      </c>
      <c r="M70" s="335"/>
      <c r="N70" s="162">
        <f t="shared" si="19"/>
        <v>0</v>
      </c>
      <c r="O70" s="162">
        <f t="shared" si="20"/>
        <v>0</v>
      </c>
      <c r="P70" s="4"/>
    </row>
    <row r="71" spans="1:16">
      <c r="B71" s="9" t="str">
        <f t="shared" si="6"/>
        <v/>
      </c>
      <c r="C71" s="157">
        <f>IF(D11="","-",+C70+1)</f>
        <v>2063</v>
      </c>
      <c r="D71" s="166">
        <f>IF(F70+SUM(E$17:E70)=D$10,F70,D$10-SUM(E$17:E70))</f>
        <v>0</v>
      </c>
      <c r="E71" s="164">
        <f>IF(+I14&lt;F70,I14,D71)</f>
        <v>0</v>
      </c>
      <c r="F71" s="163">
        <f t="shared" si="16"/>
        <v>0</v>
      </c>
      <c r="G71" s="165">
        <f t="shared" si="14"/>
        <v>0</v>
      </c>
      <c r="H71" s="147">
        <f t="shared" si="15"/>
        <v>0</v>
      </c>
      <c r="I71" s="160">
        <f t="shared" si="17"/>
        <v>0</v>
      </c>
      <c r="J71" s="160"/>
      <c r="K71" s="335"/>
      <c r="L71" s="162">
        <f t="shared" si="18"/>
        <v>0</v>
      </c>
      <c r="M71" s="335"/>
      <c r="N71" s="162">
        <f t="shared" si="19"/>
        <v>0</v>
      </c>
      <c r="O71" s="162">
        <f t="shared" si="20"/>
        <v>0</v>
      </c>
      <c r="P71" s="4"/>
    </row>
    <row r="72" spans="1:16" ht="13.5" thickBot="1">
      <c r="B72" s="9" t="str">
        <f t="shared" si="6"/>
        <v/>
      </c>
      <c r="C72" s="168">
        <f>IF(D11="","-",+C71+1)</f>
        <v>2064</v>
      </c>
      <c r="D72" s="169">
        <f>IF(F71+SUM(E$17:E71)=D$10,F71,D$10-SUM(E$17:E71))</f>
        <v>0</v>
      </c>
      <c r="E72" s="170">
        <f>IF(+I14&lt;F71,I14,D72)</f>
        <v>0</v>
      </c>
      <c r="F72" s="169">
        <f t="shared" si="16"/>
        <v>0</v>
      </c>
      <c r="G72" s="169">
        <f t="shared" si="14"/>
        <v>0</v>
      </c>
      <c r="H72" s="169">
        <f t="shared" si="15"/>
        <v>0</v>
      </c>
      <c r="I72" s="172">
        <f t="shared" si="17"/>
        <v>0</v>
      </c>
      <c r="J72" s="160"/>
      <c r="K72" s="336"/>
      <c r="L72" s="173">
        <f t="shared" si="18"/>
        <v>0</v>
      </c>
      <c r="M72" s="336"/>
      <c r="N72" s="173">
        <f t="shared" si="19"/>
        <v>0</v>
      </c>
      <c r="O72" s="173">
        <f t="shared" si="20"/>
        <v>0</v>
      </c>
      <c r="P72" s="4"/>
    </row>
    <row r="73" spans="1:16">
      <c r="C73" s="158" t="s">
        <v>72</v>
      </c>
      <c r="D73" s="115"/>
      <c r="E73" s="115">
        <f>SUM(E17:E72)</f>
        <v>893858</v>
      </c>
      <c r="F73" s="115"/>
      <c r="G73" s="115">
        <f>SUM(G17:G72)</f>
        <v>3327323.6420438993</v>
      </c>
      <c r="H73" s="115">
        <f>SUM(H17:H72)</f>
        <v>3327323.6420438993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1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1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1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1:16" ht="18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114"/>
      <c r="P77" s="4"/>
    </row>
    <row r="78" spans="1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1:16" ht="15">
      <c r="A79" s="250"/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</row>
    <row r="80" spans="1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51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4" t="str">
        <f ca="1">P1</f>
        <v>PSO Project 1 of 28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2018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118612.83535736376</v>
      </c>
      <c r="N87" s="202">
        <f>IF(J92&lt;D11,0,VLOOKUP(J92,C17:O72,11))</f>
        <v>118612.83535736376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96106.810302403712</v>
      </c>
      <c r="N88" s="204">
        <f>IF(J92&lt;D11,0,VLOOKUP(J92,C99:P154,7))</f>
        <v>96106.810302403712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Riverside-Glenpool (81-523) Reconductor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-22506.025054960046</v>
      </c>
      <c r="N89" s="207">
        <f>+N88-N87</f>
        <v>-22506.025054960046</v>
      </c>
      <c r="O89" s="208">
        <f>+O88-O87</f>
        <v>0</v>
      </c>
      <c r="P89" s="1"/>
    </row>
    <row r="90" spans="1:16" ht="13.5" thickBot="1">
      <c r="C90" s="174"/>
      <c r="D90" s="177" t="str">
        <f>D8</f>
        <v/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 t="str">
        <f>+D9</f>
        <v>TP2006087</v>
      </c>
      <c r="E91" s="210"/>
      <c r="F91" s="210"/>
      <c r="G91" s="210"/>
      <c r="H91" s="210"/>
      <c r="I91" s="210"/>
      <c r="J91" s="247"/>
      <c r="K91" s="211"/>
      <c r="P91" s="137"/>
    </row>
    <row r="92" spans="1:16">
      <c r="C92" s="376" t="s">
        <v>216</v>
      </c>
      <c r="D92" s="138">
        <v>893858</v>
      </c>
      <c r="E92" s="22" t="s">
        <v>89</v>
      </c>
      <c r="H92" s="139"/>
      <c r="I92" s="139"/>
      <c r="J92" s="140">
        <f>+'PSO.WS.G.BPU.ATRR.True-up'!M16</f>
        <v>2018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2009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6</v>
      </c>
      <c r="E94" s="141" t="s">
        <v>51</v>
      </c>
      <c r="F94" s="139"/>
      <c r="G94" s="139"/>
      <c r="J94" s="145">
        <f>'PSO.WS.G.BPU.ATRR.True-up'!$F$81</f>
        <v>0.10273556682691798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43</v>
      </c>
      <c r="E95" s="141" t="s">
        <v>54</v>
      </c>
      <c r="F95" s="139"/>
      <c r="G95" s="139"/>
      <c r="J95" s="145">
        <f>IF(H87="",J94,'PSO.WS.G.BPU.ATRR.True-up'!$F$80)</f>
        <v>0.10273556682691798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20787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277</v>
      </c>
      <c r="I97" s="339" t="s">
        <v>278</v>
      </c>
      <c r="J97" s="214" t="s">
        <v>93</v>
      </c>
      <c r="K97" s="216"/>
      <c r="L97" s="339" t="s">
        <v>203</v>
      </c>
      <c r="M97" s="151" t="s">
        <v>94</v>
      </c>
      <c r="N97" s="339" t="s">
        <v>203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2009</v>
      </c>
      <c r="D99" s="366">
        <v>0</v>
      </c>
      <c r="E99" s="368">
        <v>7981</v>
      </c>
      <c r="F99" s="371">
        <v>885877</v>
      </c>
      <c r="G99" s="373">
        <v>442938.5</v>
      </c>
      <c r="H99" s="374">
        <v>72742</v>
      </c>
      <c r="I99" s="375">
        <v>72742</v>
      </c>
      <c r="J99" s="162">
        <f t="shared" ref="J99:J130" si="21">+I99-H99</f>
        <v>0</v>
      </c>
      <c r="K99" s="162"/>
      <c r="L99" s="338">
        <f t="shared" ref="L99:L104" si="22">H99</f>
        <v>72742</v>
      </c>
      <c r="M99" s="161">
        <f t="shared" ref="M99:M130" si="23">IF(L99&lt;&gt;0,+H99-L99,0)</f>
        <v>0</v>
      </c>
      <c r="N99" s="338">
        <f t="shared" ref="N99:N104" si="24">I99</f>
        <v>72742</v>
      </c>
      <c r="O99" s="161">
        <f t="shared" ref="O99:O130" si="25">IF(N99&lt;&gt;0,+I99-N99,0)</f>
        <v>0</v>
      </c>
      <c r="P99" s="161">
        <f t="shared" ref="P99:P130" si="26">+O99-M99</f>
        <v>0</v>
      </c>
    </row>
    <row r="100" spans="1:16">
      <c r="B100" s="9" t="str">
        <f>IF(D100=F99,"","IU")</f>
        <v/>
      </c>
      <c r="C100" s="157">
        <f>IF(D93="","-",+C99+1)</f>
        <v>2010</v>
      </c>
      <c r="D100" s="366">
        <v>885877</v>
      </c>
      <c r="E100" s="368">
        <v>17527</v>
      </c>
      <c r="F100" s="371">
        <v>868350</v>
      </c>
      <c r="G100" s="371">
        <v>877113.5</v>
      </c>
      <c r="H100" s="374">
        <v>158580.20000000001</v>
      </c>
      <c r="I100" s="375">
        <v>158580.20000000001</v>
      </c>
      <c r="J100" s="162">
        <f t="shared" si="21"/>
        <v>0</v>
      </c>
      <c r="K100" s="162"/>
      <c r="L100" s="338">
        <f t="shared" si="22"/>
        <v>158580.20000000001</v>
      </c>
      <c r="M100" s="162">
        <f t="shared" si="23"/>
        <v>0</v>
      </c>
      <c r="N100" s="338">
        <f t="shared" si="24"/>
        <v>158580.20000000001</v>
      </c>
      <c r="O100" s="162">
        <f t="shared" si="25"/>
        <v>0</v>
      </c>
      <c r="P100" s="162">
        <f t="shared" si="26"/>
        <v>0</v>
      </c>
    </row>
    <row r="101" spans="1:16">
      <c r="B101" s="9" t="str">
        <f t="shared" ref="B101:B154" si="27">IF(D101=F100,"","IU")</f>
        <v/>
      </c>
      <c r="C101" s="404">
        <f>IF(D93="","-",+C100+1)</f>
        <v>2011</v>
      </c>
      <c r="D101" s="366">
        <v>868350</v>
      </c>
      <c r="E101" s="368">
        <v>17190</v>
      </c>
      <c r="F101" s="371">
        <v>851160</v>
      </c>
      <c r="G101" s="371">
        <v>859755</v>
      </c>
      <c r="H101" s="368">
        <v>137395.30233025842</v>
      </c>
      <c r="I101" s="370">
        <v>137395.30233025842</v>
      </c>
      <c r="J101" s="162">
        <f t="shared" si="21"/>
        <v>0</v>
      </c>
      <c r="K101" s="162"/>
      <c r="L101" s="380">
        <f t="shared" si="22"/>
        <v>137395.30233025842</v>
      </c>
      <c r="M101" s="381">
        <f t="shared" si="23"/>
        <v>0</v>
      </c>
      <c r="N101" s="380">
        <f t="shared" si="24"/>
        <v>137395.30233025842</v>
      </c>
      <c r="O101" s="162">
        <f t="shared" si="25"/>
        <v>0</v>
      </c>
      <c r="P101" s="162">
        <f t="shared" si="26"/>
        <v>0</v>
      </c>
    </row>
    <row r="102" spans="1:16">
      <c r="B102" s="9" t="str">
        <f t="shared" si="27"/>
        <v/>
      </c>
      <c r="C102" s="404">
        <f>IF(D93="","-",+C101+1)</f>
        <v>2012</v>
      </c>
      <c r="D102" s="366">
        <v>851160</v>
      </c>
      <c r="E102" s="368">
        <v>17190</v>
      </c>
      <c r="F102" s="371">
        <v>833970</v>
      </c>
      <c r="G102" s="371">
        <v>842565</v>
      </c>
      <c r="H102" s="368">
        <v>138397.59402070014</v>
      </c>
      <c r="I102" s="370">
        <v>138397.59402070014</v>
      </c>
      <c r="J102" s="162">
        <v>0</v>
      </c>
      <c r="K102" s="162"/>
      <c r="L102" s="380">
        <f t="shared" si="22"/>
        <v>138397.59402070014</v>
      </c>
      <c r="M102" s="381">
        <f t="shared" ref="M102:M107" si="28">IF(L102&lt;&gt;0,+H102-L102,0)</f>
        <v>0</v>
      </c>
      <c r="N102" s="380">
        <f t="shared" si="24"/>
        <v>138397.59402070014</v>
      </c>
      <c r="O102" s="162">
        <f t="shared" ref="O102:O107" si="29">IF(N102&lt;&gt;0,+I102-N102,0)</f>
        <v>0</v>
      </c>
      <c r="P102" s="162">
        <f t="shared" ref="P102:P107" si="30">+O102-M102</f>
        <v>0</v>
      </c>
    </row>
    <row r="103" spans="1:16">
      <c r="B103" s="9" t="str">
        <f t="shared" si="27"/>
        <v/>
      </c>
      <c r="C103" s="157">
        <f>IF(D93="","-",+C102+1)</f>
        <v>2013</v>
      </c>
      <c r="D103" s="366">
        <v>833970</v>
      </c>
      <c r="E103" s="368">
        <v>17190</v>
      </c>
      <c r="F103" s="371">
        <v>816780</v>
      </c>
      <c r="G103" s="371">
        <v>825375</v>
      </c>
      <c r="H103" s="368">
        <v>135994.14234787846</v>
      </c>
      <c r="I103" s="370">
        <v>135994.14234787846</v>
      </c>
      <c r="J103" s="162">
        <v>0</v>
      </c>
      <c r="K103" s="162"/>
      <c r="L103" s="380">
        <f t="shared" si="22"/>
        <v>135994.14234787846</v>
      </c>
      <c r="M103" s="381">
        <f t="shared" si="28"/>
        <v>0</v>
      </c>
      <c r="N103" s="380">
        <f t="shared" si="24"/>
        <v>135994.14234787846</v>
      </c>
      <c r="O103" s="162">
        <f t="shared" si="29"/>
        <v>0</v>
      </c>
      <c r="P103" s="162">
        <f t="shared" si="30"/>
        <v>0</v>
      </c>
    </row>
    <row r="104" spans="1:16">
      <c r="B104" s="9" t="str">
        <f t="shared" si="27"/>
        <v/>
      </c>
      <c r="C104" s="157">
        <f>IF(D93="","-",+C103+1)</f>
        <v>2014</v>
      </c>
      <c r="D104" s="366">
        <v>816780</v>
      </c>
      <c r="E104" s="368">
        <v>17190</v>
      </c>
      <c r="F104" s="371">
        <v>799590</v>
      </c>
      <c r="G104" s="371">
        <v>808185</v>
      </c>
      <c r="H104" s="368">
        <v>130817.50733584017</v>
      </c>
      <c r="I104" s="370">
        <v>130817.50733584017</v>
      </c>
      <c r="J104" s="162">
        <v>0</v>
      </c>
      <c r="K104" s="162"/>
      <c r="L104" s="380">
        <f t="shared" si="22"/>
        <v>130817.50733584017</v>
      </c>
      <c r="M104" s="381">
        <f t="shared" si="28"/>
        <v>0</v>
      </c>
      <c r="N104" s="380">
        <f t="shared" si="24"/>
        <v>130817.50733584017</v>
      </c>
      <c r="O104" s="162">
        <f t="shared" si="29"/>
        <v>0</v>
      </c>
      <c r="P104" s="162">
        <f t="shared" si="30"/>
        <v>0</v>
      </c>
    </row>
    <row r="105" spans="1:16">
      <c r="B105" s="9" t="str">
        <f t="shared" si="27"/>
        <v/>
      </c>
      <c r="C105" s="157">
        <f>IF(D93="","-",+C104+1)</f>
        <v>2015</v>
      </c>
      <c r="D105" s="366">
        <v>799590</v>
      </c>
      <c r="E105" s="368">
        <v>17190</v>
      </c>
      <c r="F105" s="371">
        <v>782400</v>
      </c>
      <c r="G105" s="371">
        <v>790995</v>
      </c>
      <c r="H105" s="368">
        <v>125114.9078367878</v>
      </c>
      <c r="I105" s="370">
        <v>125114.9078367878</v>
      </c>
      <c r="J105" s="162">
        <f t="shared" si="21"/>
        <v>0</v>
      </c>
      <c r="K105" s="162"/>
      <c r="L105" s="380">
        <f>H105</f>
        <v>125114.9078367878</v>
      </c>
      <c r="M105" s="381">
        <f t="shared" si="28"/>
        <v>0</v>
      </c>
      <c r="N105" s="380">
        <f>I105</f>
        <v>125114.9078367878</v>
      </c>
      <c r="O105" s="162">
        <f t="shared" si="29"/>
        <v>0</v>
      </c>
      <c r="P105" s="162">
        <f t="shared" si="30"/>
        <v>0</v>
      </c>
    </row>
    <row r="106" spans="1:16">
      <c r="B106" s="9" t="str">
        <f t="shared" si="27"/>
        <v/>
      </c>
      <c r="C106" s="157">
        <f>IF(D93="","-",+C105+1)</f>
        <v>2016</v>
      </c>
      <c r="D106" s="366">
        <v>782400</v>
      </c>
      <c r="E106" s="368">
        <v>19432</v>
      </c>
      <c r="F106" s="371">
        <v>762968</v>
      </c>
      <c r="G106" s="371">
        <v>772684</v>
      </c>
      <c r="H106" s="368">
        <v>119043.13650322839</v>
      </c>
      <c r="I106" s="370">
        <v>119043.13650322839</v>
      </c>
      <c r="J106" s="162">
        <v>0</v>
      </c>
      <c r="K106" s="162"/>
      <c r="L106" s="380">
        <f>H106</f>
        <v>119043.13650322839</v>
      </c>
      <c r="M106" s="381">
        <f t="shared" si="28"/>
        <v>0</v>
      </c>
      <c r="N106" s="380">
        <f>I106</f>
        <v>119043.13650322839</v>
      </c>
      <c r="O106" s="162">
        <f t="shared" si="29"/>
        <v>0</v>
      </c>
      <c r="P106" s="162">
        <f t="shared" si="30"/>
        <v>0</v>
      </c>
    </row>
    <row r="107" spans="1:16">
      <c r="B107" s="9" t="str">
        <f t="shared" si="27"/>
        <v/>
      </c>
      <c r="C107" s="157">
        <f>IF(D93="","-",+C106+1)</f>
        <v>2017</v>
      </c>
      <c r="D107" s="366">
        <v>762968</v>
      </c>
      <c r="E107" s="368">
        <v>19432</v>
      </c>
      <c r="F107" s="371">
        <v>743536</v>
      </c>
      <c r="G107" s="371">
        <v>753252</v>
      </c>
      <c r="H107" s="368">
        <v>114983.91552559278</v>
      </c>
      <c r="I107" s="370">
        <v>114983.91552559278</v>
      </c>
      <c r="J107" s="162">
        <f t="shared" si="21"/>
        <v>0</v>
      </c>
      <c r="K107" s="162"/>
      <c r="L107" s="380">
        <f>H107</f>
        <v>114983.91552559278</v>
      </c>
      <c r="M107" s="381">
        <f t="shared" si="28"/>
        <v>0</v>
      </c>
      <c r="N107" s="380">
        <f>I107</f>
        <v>114983.91552559278</v>
      </c>
      <c r="O107" s="162">
        <f t="shared" si="29"/>
        <v>0</v>
      </c>
      <c r="P107" s="162">
        <f t="shared" si="30"/>
        <v>0</v>
      </c>
    </row>
    <row r="108" spans="1:16">
      <c r="B108" s="9" t="str">
        <f t="shared" si="27"/>
        <v/>
      </c>
      <c r="C108" s="157">
        <f>IF(D93="","-",+C107+1)</f>
        <v>2018</v>
      </c>
      <c r="D108" s="158">
        <f>IF(F107+SUM(E$99:E107)=D$92,F107,D$92-SUM(E$99:E107))</f>
        <v>743536</v>
      </c>
      <c r="E108" s="165">
        <f>IF(+J96&lt;F107,J96,D108)</f>
        <v>20787</v>
      </c>
      <c r="F108" s="163">
        <f t="shared" ref="F108:F130" si="31">+D108-E108</f>
        <v>722749</v>
      </c>
      <c r="G108" s="163">
        <f t="shared" ref="G108:G130" si="32">+(F108+D108)/2</f>
        <v>733142.5</v>
      </c>
      <c r="H108" s="167">
        <f t="shared" ref="H108:H131" si="33">+J$94*G108+E108</f>
        <v>96106.810302403712</v>
      </c>
      <c r="I108" s="317">
        <f t="shared" ref="I108:I131" si="34">+J$95*G108+E108</f>
        <v>96106.810302403712</v>
      </c>
      <c r="J108" s="162">
        <f t="shared" si="21"/>
        <v>0</v>
      </c>
      <c r="K108" s="162"/>
      <c r="L108" s="335"/>
      <c r="M108" s="162">
        <f t="shared" si="23"/>
        <v>0</v>
      </c>
      <c r="N108" s="335"/>
      <c r="O108" s="162">
        <f t="shared" si="25"/>
        <v>0</v>
      </c>
      <c r="P108" s="162">
        <f t="shared" si="26"/>
        <v>0</v>
      </c>
    </row>
    <row r="109" spans="1:16">
      <c r="B109" s="9" t="str">
        <f t="shared" si="27"/>
        <v/>
      </c>
      <c r="C109" s="157">
        <f>IF(D93="","-",+C108+1)</f>
        <v>2019</v>
      </c>
      <c r="D109" s="158">
        <f>IF(F108+SUM(E$99:E108)=D$92,F108,D$92-SUM(E$99:E108))</f>
        <v>722749</v>
      </c>
      <c r="E109" s="165">
        <f>IF(+J96&lt;F108,J96,D109)</f>
        <v>20787</v>
      </c>
      <c r="F109" s="163">
        <f t="shared" si="31"/>
        <v>701962</v>
      </c>
      <c r="G109" s="163">
        <f t="shared" si="32"/>
        <v>712355.5</v>
      </c>
      <c r="H109" s="167">
        <f t="shared" si="33"/>
        <v>93971.246074772571</v>
      </c>
      <c r="I109" s="317">
        <f t="shared" si="34"/>
        <v>93971.246074772571</v>
      </c>
      <c r="J109" s="162">
        <f t="shared" si="21"/>
        <v>0</v>
      </c>
      <c r="K109" s="162"/>
      <c r="L109" s="335"/>
      <c r="M109" s="162">
        <f t="shared" si="23"/>
        <v>0</v>
      </c>
      <c r="N109" s="335"/>
      <c r="O109" s="162">
        <f t="shared" si="25"/>
        <v>0</v>
      </c>
      <c r="P109" s="162">
        <f t="shared" si="26"/>
        <v>0</v>
      </c>
    </row>
    <row r="110" spans="1:16">
      <c r="B110" s="9" t="str">
        <f t="shared" si="27"/>
        <v/>
      </c>
      <c r="C110" s="157">
        <f>IF(D93="","-",+C109+1)</f>
        <v>2020</v>
      </c>
      <c r="D110" s="158">
        <f>IF(F109+SUM(E$99:E109)=D$92,F109,D$92-SUM(E$99:E109))</f>
        <v>701962</v>
      </c>
      <c r="E110" s="165">
        <f>IF(+J96&lt;F109,J96,D110)</f>
        <v>20787</v>
      </c>
      <c r="F110" s="163">
        <f t="shared" si="31"/>
        <v>681175</v>
      </c>
      <c r="G110" s="163">
        <f t="shared" si="32"/>
        <v>691568.5</v>
      </c>
      <c r="H110" s="167">
        <f t="shared" si="33"/>
        <v>91835.68184714143</v>
      </c>
      <c r="I110" s="317">
        <f t="shared" si="34"/>
        <v>91835.68184714143</v>
      </c>
      <c r="J110" s="162">
        <f t="shared" si="21"/>
        <v>0</v>
      </c>
      <c r="K110" s="162"/>
      <c r="L110" s="335"/>
      <c r="M110" s="162">
        <f t="shared" si="23"/>
        <v>0</v>
      </c>
      <c r="N110" s="335"/>
      <c r="O110" s="162">
        <f t="shared" si="25"/>
        <v>0</v>
      </c>
      <c r="P110" s="162">
        <f t="shared" si="26"/>
        <v>0</v>
      </c>
    </row>
    <row r="111" spans="1:16">
      <c r="B111" s="9" t="str">
        <f t="shared" si="27"/>
        <v/>
      </c>
      <c r="C111" s="157">
        <f>IF(D93="","-",+C110+1)</f>
        <v>2021</v>
      </c>
      <c r="D111" s="158">
        <f>IF(F110+SUM(E$99:E110)=D$92,F110,D$92-SUM(E$99:E110))</f>
        <v>681175</v>
      </c>
      <c r="E111" s="165">
        <f>IF(+J96&lt;F110,J96,D111)</f>
        <v>20787</v>
      </c>
      <c r="F111" s="163">
        <f t="shared" si="31"/>
        <v>660388</v>
      </c>
      <c r="G111" s="163">
        <f t="shared" si="32"/>
        <v>670781.5</v>
      </c>
      <c r="H111" s="167">
        <f t="shared" si="33"/>
        <v>89700.117619510289</v>
      </c>
      <c r="I111" s="317">
        <f t="shared" si="34"/>
        <v>89700.117619510289</v>
      </c>
      <c r="J111" s="162">
        <f t="shared" si="21"/>
        <v>0</v>
      </c>
      <c r="K111" s="162"/>
      <c r="L111" s="335"/>
      <c r="M111" s="162">
        <f t="shared" si="23"/>
        <v>0</v>
      </c>
      <c r="N111" s="335"/>
      <c r="O111" s="162">
        <f t="shared" si="25"/>
        <v>0</v>
      </c>
      <c r="P111" s="162">
        <f t="shared" si="26"/>
        <v>0</v>
      </c>
    </row>
    <row r="112" spans="1:16">
      <c r="B112" s="9" t="str">
        <f t="shared" si="27"/>
        <v/>
      </c>
      <c r="C112" s="157">
        <f>IF(D93="","-",+C111+1)</f>
        <v>2022</v>
      </c>
      <c r="D112" s="158">
        <f>IF(F111+SUM(E$99:E111)=D$92,F111,D$92-SUM(E$99:E111))</f>
        <v>660388</v>
      </c>
      <c r="E112" s="165">
        <f>IF(+J96&lt;F111,J96,D112)</f>
        <v>20787</v>
      </c>
      <c r="F112" s="163">
        <f t="shared" si="31"/>
        <v>639601</v>
      </c>
      <c r="G112" s="163">
        <f t="shared" si="32"/>
        <v>649994.5</v>
      </c>
      <c r="H112" s="167">
        <f t="shared" si="33"/>
        <v>87564.553391879133</v>
      </c>
      <c r="I112" s="317">
        <f t="shared" si="34"/>
        <v>87564.553391879133</v>
      </c>
      <c r="J112" s="162">
        <f t="shared" si="21"/>
        <v>0</v>
      </c>
      <c r="K112" s="162"/>
      <c r="L112" s="335"/>
      <c r="M112" s="162">
        <f t="shared" si="23"/>
        <v>0</v>
      </c>
      <c r="N112" s="335"/>
      <c r="O112" s="162">
        <f t="shared" si="25"/>
        <v>0</v>
      </c>
      <c r="P112" s="162">
        <f t="shared" si="26"/>
        <v>0</v>
      </c>
    </row>
    <row r="113" spans="2:16">
      <c r="B113" s="9" t="str">
        <f t="shared" si="27"/>
        <v/>
      </c>
      <c r="C113" s="157">
        <f>IF(D93="","-",+C112+1)</f>
        <v>2023</v>
      </c>
      <c r="D113" s="158">
        <f>IF(F112+SUM(E$99:E112)=D$92,F112,D$92-SUM(E$99:E112))</f>
        <v>639601</v>
      </c>
      <c r="E113" s="165">
        <f>IF(+J96&lt;F112,J96,D113)</f>
        <v>20787</v>
      </c>
      <c r="F113" s="163">
        <f t="shared" si="31"/>
        <v>618814</v>
      </c>
      <c r="G113" s="163">
        <f t="shared" si="32"/>
        <v>629207.5</v>
      </c>
      <c r="H113" s="167">
        <f t="shared" si="33"/>
        <v>85428.989164247992</v>
      </c>
      <c r="I113" s="317">
        <f t="shared" si="34"/>
        <v>85428.989164247992</v>
      </c>
      <c r="J113" s="162">
        <f t="shared" si="21"/>
        <v>0</v>
      </c>
      <c r="K113" s="162"/>
      <c r="L113" s="335"/>
      <c r="M113" s="162">
        <f t="shared" si="23"/>
        <v>0</v>
      </c>
      <c r="N113" s="335"/>
      <c r="O113" s="162">
        <f t="shared" si="25"/>
        <v>0</v>
      </c>
      <c r="P113" s="162">
        <f t="shared" si="26"/>
        <v>0</v>
      </c>
    </row>
    <row r="114" spans="2:16">
      <c r="B114" s="9" t="str">
        <f t="shared" si="27"/>
        <v/>
      </c>
      <c r="C114" s="157">
        <f>IF(D93="","-",+C113+1)</f>
        <v>2024</v>
      </c>
      <c r="D114" s="158">
        <f>IF(F113+SUM(E$99:E113)=D$92,F113,D$92-SUM(E$99:E113))</f>
        <v>618814</v>
      </c>
      <c r="E114" s="165">
        <f>IF(+J96&lt;F113,J96,D114)</f>
        <v>20787</v>
      </c>
      <c r="F114" s="163">
        <f t="shared" si="31"/>
        <v>598027</v>
      </c>
      <c r="G114" s="163">
        <f t="shared" si="32"/>
        <v>608420.5</v>
      </c>
      <c r="H114" s="167">
        <f t="shared" si="33"/>
        <v>83293.424936616851</v>
      </c>
      <c r="I114" s="317">
        <f t="shared" si="34"/>
        <v>83293.424936616851</v>
      </c>
      <c r="J114" s="162">
        <f t="shared" si="21"/>
        <v>0</v>
      </c>
      <c r="K114" s="162"/>
      <c r="L114" s="335"/>
      <c r="M114" s="162">
        <f t="shared" si="23"/>
        <v>0</v>
      </c>
      <c r="N114" s="335"/>
      <c r="O114" s="162">
        <f t="shared" si="25"/>
        <v>0</v>
      </c>
      <c r="P114" s="162">
        <f t="shared" si="26"/>
        <v>0</v>
      </c>
    </row>
    <row r="115" spans="2:16">
      <c r="B115" s="9" t="str">
        <f t="shared" si="27"/>
        <v/>
      </c>
      <c r="C115" s="157">
        <f>IF(D93="","-",+C114+1)</f>
        <v>2025</v>
      </c>
      <c r="D115" s="158">
        <f>IF(F114+SUM(E$99:E114)=D$92,F114,D$92-SUM(E$99:E114))</f>
        <v>598027</v>
      </c>
      <c r="E115" s="165">
        <f>IF(+J96&lt;F114,J96,D115)</f>
        <v>20787</v>
      </c>
      <c r="F115" s="163">
        <f t="shared" si="31"/>
        <v>577240</v>
      </c>
      <c r="G115" s="163">
        <f t="shared" si="32"/>
        <v>587633.5</v>
      </c>
      <c r="H115" s="167">
        <f t="shared" si="33"/>
        <v>81157.860708985711</v>
      </c>
      <c r="I115" s="317">
        <f t="shared" si="34"/>
        <v>81157.860708985711</v>
      </c>
      <c r="J115" s="162">
        <f t="shared" si="21"/>
        <v>0</v>
      </c>
      <c r="K115" s="162"/>
      <c r="L115" s="335"/>
      <c r="M115" s="162">
        <f t="shared" si="23"/>
        <v>0</v>
      </c>
      <c r="N115" s="335"/>
      <c r="O115" s="162">
        <f t="shared" si="25"/>
        <v>0</v>
      </c>
      <c r="P115" s="162">
        <f t="shared" si="26"/>
        <v>0</v>
      </c>
    </row>
    <row r="116" spans="2:16">
      <c r="B116" s="9" t="str">
        <f t="shared" si="27"/>
        <v/>
      </c>
      <c r="C116" s="157">
        <f>IF(D93="","-",+C115+1)</f>
        <v>2026</v>
      </c>
      <c r="D116" s="158">
        <f>IF(F115+SUM(E$99:E115)=D$92,F115,D$92-SUM(E$99:E115))</f>
        <v>577240</v>
      </c>
      <c r="E116" s="165">
        <f>IF(+J96&lt;F115,J96,D116)</f>
        <v>20787</v>
      </c>
      <c r="F116" s="163">
        <f t="shared" si="31"/>
        <v>556453</v>
      </c>
      <c r="G116" s="163">
        <f t="shared" si="32"/>
        <v>566846.5</v>
      </c>
      <c r="H116" s="167">
        <f t="shared" si="33"/>
        <v>79022.29648135457</v>
      </c>
      <c r="I116" s="317">
        <f t="shared" si="34"/>
        <v>79022.29648135457</v>
      </c>
      <c r="J116" s="162">
        <f t="shared" si="21"/>
        <v>0</v>
      </c>
      <c r="K116" s="162"/>
      <c r="L116" s="335"/>
      <c r="M116" s="162">
        <f t="shared" si="23"/>
        <v>0</v>
      </c>
      <c r="N116" s="335"/>
      <c r="O116" s="162">
        <f t="shared" si="25"/>
        <v>0</v>
      </c>
      <c r="P116" s="162">
        <f t="shared" si="26"/>
        <v>0</v>
      </c>
    </row>
    <row r="117" spans="2:16">
      <c r="B117" s="9" t="str">
        <f t="shared" si="27"/>
        <v/>
      </c>
      <c r="C117" s="157">
        <f>IF(D93="","-",+C116+1)</f>
        <v>2027</v>
      </c>
      <c r="D117" s="158">
        <f>IF(F116+SUM(E$99:E116)=D$92,F116,D$92-SUM(E$99:E116))</f>
        <v>556453</v>
      </c>
      <c r="E117" s="165">
        <f>IF(+J96&lt;F116,J96,D117)</f>
        <v>20787</v>
      </c>
      <c r="F117" s="163">
        <f t="shared" si="31"/>
        <v>535666</v>
      </c>
      <c r="G117" s="163">
        <f t="shared" si="32"/>
        <v>546059.5</v>
      </c>
      <c r="H117" s="167">
        <f t="shared" si="33"/>
        <v>76886.732253723429</v>
      </c>
      <c r="I117" s="317">
        <f t="shared" si="34"/>
        <v>76886.732253723429</v>
      </c>
      <c r="J117" s="162">
        <f t="shared" si="21"/>
        <v>0</v>
      </c>
      <c r="K117" s="162"/>
      <c r="L117" s="335"/>
      <c r="M117" s="162">
        <f t="shared" si="23"/>
        <v>0</v>
      </c>
      <c r="N117" s="335"/>
      <c r="O117" s="162">
        <f t="shared" si="25"/>
        <v>0</v>
      </c>
      <c r="P117" s="162">
        <f t="shared" si="26"/>
        <v>0</v>
      </c>
    </row>
    <row r="118" spans="2:16">
      <c r="B118" s="9" t="str">
        <f t="shared" si="27"/>
        <v/>
      </c>
      <c r="C118" s="157">
        <f>IF(D93="","-",+C117+1)</f>
        <v>2028</v>
      </c>
      <c r="D118" s="158">
        <f>IF(F117+SUM(E$99:E117)=D$92,F117,D$92-SUM(E$99:E117))</f>
        <v>535666</v>
      </c>
      <c r="E118" s="165">
        <f>IF(+J96&lt;F117,J96,D118)</f>
        <v>20787</v>
      </c>
      <c r="F118" s="163">
        <f t="shared" si="31"/>
        <v>514879</v>
      </c>
      <c r="G118" s="163">
        <f t="shared" si="32"/>
        <v>525272.5</v>
      </c>
      <c r="H118" s="167">
        <f t="shared" si="33"/>
        <v>74751.168026092273</v>
      </c>
      <c r="I118" s="317">
        <f t="shared" si="34"/>
        <v>74751.168026092273</v>
      </c>
      <c r="J118" s="162">
        <f t="shared" si="21"/>
        <v>0</v>
      </c>
      <c r="K118" s="162"/>
      <c r="L118" s="335"/>
      <c r="M118" s="162">
        <f t="shared" si="23"/>
        <v>0</v>
      </c>
      <c r="N118" s="335"/>
      <c r="O118" s="162">
        <f t="shared" si="25"/>
        <v>0</v>
      </c>
      <c r="P118" s="162">
        <f t="shared" si="26"/>
        <v>0</v>
      </c>
    </row>
    <row r="119" spans="2:16">
      <c r="B119" s="9" t="str">
        <f t="shared" si="27"/>
        <v/>
      </c>
      <c r="C119" s="157">
        <f>IF(D93="","-",+C118+1)</f>
        <v>2029</v>
      </c>
      <c r="D119" s="158">
        <f>IF(F118+SUM(E$99:E118)=D$92,F118,D$92-SUM(E$99:E118))</f>
        <v>514879</v>
      </c>
      <c r="E119" s="165">
        <f>IF(+J96&lt;F118,J96,D119)</f>
        <v>20787</v>
      </c>
      <c r="F119" s="163">
        <f t="shared" si="31"/>
        <v>494092</v>
      </c>
      <c r="G119" s="163">
        <f t="shared" si="32"/>
        <v>504485.5</v>
      </c>
      <c r="H119" s="167">
        <f t="shared" si="33"/>
        <v>72615.603798461132</v>
      </c>
      <c r="I119" s="317">
        <f t="shared" si="34"/>
        <v>72615.603798461132</v>
      </c>
      <c r="J119" s="162">
        <f t="shared" si="21"/>
        <v>0</v>
      </c>
      <c r="K119" s="162"/>
      <c r="L119" s="335"/>
      <c r="M119" s="162">
        <f t="shared" si="23"/>
        <v>0</v>
      </c>
      <c r="N119" s="335"/>
      <c r="O119" s="162">
        <f t="shared" si="25"/>
        <v>0</v>
      </c>
      <c r="P119" s="162">
        <f t="shared" si="26"/>
        <v>0</v>
      </c>
    </row>
    <row r="120" spans="2:16">
      <c r="B120" s="9" t="str">
        <f t="shared" si="27"/>
        <v/>
      </c>
      <c r="C120" s="157">
        <f>IF(D93="","-",+C119+1)</f>
        <v>2030</v>
      </c>
      <c r="D120" s="158">
        <f>IF(F119+SUM(E$99:E119)=D$92,F119,D$92-SUM(E$99:E119))</f>
        <v>494092</v>
      </c>
      <c r="E120" s="165">
        <f>IF(+J96&lt;F119,J96,D120)</f>
        <v>20787</v>
      </c>
      <c r="F120" s="163">
        <f t="shared" si="31"/>
        <v>473305</v>
      </c>
      <c r="G120" s="163">
        <f t="shared" si="32"/>
        <v>483698.5</v>
      </c>
      <c r="H120" s="167">
        <f t="shared" si="33"/>
        <v>70480.039570829977</v>
      </c>
      <c r="I120" s="317">
        <f t="shared" si="34"/>
        <v>70480.039570829977</v>
      </c>
      <c r="J120" s="162">
        <f t="shared" si="21"/>
        <v>0</v>
      </c>
      <c r="K120" s="162"/>
      <c r="L120" s="335"/>
      <c r="M120" s="162">
        <f t="shared" si="23"/>
        <v>0</v>
      </c>
      <c r="N120" s="335"/>
      <c r="O120" s="162">
        <f t="shared" si="25"/>
        <v>0</v>
      </c>
      <c r="P120" s="162">
        <f t="shared" si="26"/>
        <v>0</v>
      </c>
    </row>
    <row r="121" spans="2:16">
      <c r="B121" s="9" t="str">
        <f t="shared" si="27"/>
        <v/>
      </c>
      <c r="C121" s="157">
        <f>IF(D93="","-",+C120+1)</f>
        <v>2031</v>
      </c>
      <c r="D121" s="158">
        <f>IF(F120+SUM(E$99:E120)=D$92,F120,D$92-SUM(E$99:E120))</f>
        <v>473305</v>
      </c>
      <c r="E121" s="165">
        <f>IF(+J96&lt;F120,J96,D121)</f>
        <v>20787</v>
      </c>
      <c r="F121" s="163">
        <f t="shared" si="31"/>
        <v>452518</v>
      </c>
      <c r="G121" s="163">
        <f t="shared" si="32"/>
        <v>462911.5</v>
      </c>
      <c r="H121" s="167">
        <f t="shared" si="33"/>
        <v>68344.475343198836</v>
      </c>
      <c r="I121" s="317">
        <f t="shared" si="34"/>
        <v>68344.475343198836</v>
      </c>
      <c r="J121" s="162">
        <f t="shared" si="21"/>
        <v>0</v>
      </c>
      <c r="K121" s="162"/>
      <c r="L121" s="335"/>
      <c r="M121" s="162">
        <f t="shared" si="23"/>
        <v>0</v>
      </c>
      <c r="N121" s="335"/>
      <c r="O121" s="162">
        <f t="shared" si="25"/>
        <v>0</v>
      </c>
      <c r="P121" s="162">
        <f t="shared" si="26"/>
        <v>0</v>
      </c>
    </row>
    <row r="122" spans="2:16">
      <c r="B122" s="9" t="str">
        <f t="shared" si="27"/>
        <v/>
      </c>
      <c r="C122" s="157">
        <f>IF(D93="","-",+C121+1)</f>
        <v>2032</v>
      </c>
      <c r="D122" s="158">
        <f>IF(F121+SUM(E$99:E121)=D$92,F121,D$92-SUM(E$99:E121))</f>
        <v>452518</v>
      </c>
      <c r="E122" s="165">
        <f>IF(+J96&lt;F121,J96,D122)</f>
        <v>20787</v>
      </c>
      <c r="F122" s="163">
        <f t="shared" si="31"/>
        <v>431731</v>
      </c>
      <c r="G122" s="163">
        <f t="shared" si="32"/>
        <v>442124.5</v>
      </c>
      <c r="H122" s="167">
        <f t="shared" si="33"/>
        <v>66208.911115567695</v>
      </c>
      <c r="I122" s="317">
        <f t="shared" si="34"/>
        <v>66208.911115567695</v>
      </c>
      <c r="J122" s="162">
        <f t="shared" si="21"/>
        <v>0</v>
      </c>
      <c r="K122" s="162"/>
      <c r="L122" s="335"/>
      <c r="M122" s="162">
        <f t="shared" si="23"/>
        <v>0</v>
      </c>
      <c r="N122" s="335"/>
      <c r="O122" s="162">
        <f t="shared" si="25"/>
        <v>0</v>
      </c>
      <c r="P122" s="162">
        <f t="shared" si="26"/>
        <v>0</v>
      </c>
    </row>
    <row r="123" spans="2:16">
      <c r="B123" s="9" t="str">
        <f t="shared" si="27"/>
        <v/>
      </c>
      <c r="C123" s="157">
        <f>IF(D93="","-",+C122+1)</f>
        <v>2033</v>
      </c>
      <c r="D123" s="158">
        <f>IF(F122+SUM(E$99:E122)=D$92,F122,D$92-SUM(E$99:E122))</f>
        <v>431731</v>
      </c>
      <c r="E123" s="165">
        <f>IF(+J96&lt;F122,J96,D123)</f>
        <v>20787</v>
      </c>
      <c r="F123" s="163">
        <f t="shared" si="31"/>
        <v>410944</v>
      </c>
      <c r="G123" s="163">
        <f t="shared" si="32"/>
        <v>421337.5</v>
      </c>
      <c r="H123" s="167">
        <f t="shared" si="33"/>
        <v>64073.346887936554</v>
      </c>
      <c r="I123" s="317">
        <f t="shared" si="34"/>
        <v>64073.346887936554</v>
      </c>
      <c r="J123" s="162">
        <f t="shared" si="21"/>
        <v>0</v>
      </c>
      <c r="K123" s="162"/>
      <c r="L123" s="335"/>
      <c r="M123" s="162">
        <f t="shared" si="23"/>
        <v>0</v>
      </c>
      <c r="N123" s="335"/>
      <c r="O123" s="162">
        <f t="shared" si="25"/>
        <v>0</v>
      </c>
      <c r="P123" s="162">
        <f t="shared" si="26"/>
        <v>0</v>
      </c>
    </row>
    <row r="124" spans="2:16">
      <c r="B124" s="9" t="str">
        <f t="shared" si="27"/>
        <v/>
      </c>
      <c r="C124" s="157">
        <f>IF(D93="","-",+C123+1)</f>
        <v>2034</v>
      </c>
      <c r="D124" s="158">
        <f>IF(F123+SUM(E$99:E123)=D$92,F123,D$92-SUM(E$99:E123))</f>
        <v>410944</v>
      </c>
      <c r="E124" s="165">
        <f>IF(+J96&lt;F123,J96,D124)</f>
        <v>20787</v>
      </c>
      <c r="F124" s="163">
        <f t="shared" si="31"/>
        <v>390157</v>
      </c>
      <c r="G124" s="163">
        <f t="shared" si="32"/>
        <v>400550.5</v>
      </c>
      <c r="H124" s="167">
        <f t="shared" si="33"/>
        <v>61937.782660305413</v>
      </c>
      <c r="I124" s="317">
        <f t="shared" si="34"/>
        <v>61937.782660305413</v>
      </c>
      <c r="J124" s="162">
        <f t="shared" si="21"/>
        <v>0</v>
      </c>
      <c r="K124" s="162"/>
      <c r="L124" s="335"/>
      <c r="M124" s="162">
        <f t="shared" si="23"/>
        <v>0</v>
      </c>
      <c r="N124" s="335"/>
      <c r="O124" s="162">
        <f t="shared" si="25"/>
        <v>0</v>
      </c>
      <c r="P124" s="162">
        <f t="shared" si="26"/>
        <v>0</v>
      </c>
    </row>
    <row r="125" spans="2:16">
      <c r="B125" s="9" t="str">
        <f t="shared" si="27"/>
        <v/>
      </c>
      <c r="C125" s="157">
        <f>IF(D93="","-",+C124+1)</f>
        <v>2035</v>
      </c>
      <c r="D125" s="158">
        <f>IF(F124+SUM(E$99:E124)=D$92,F124,D$92-SUM(E$99:E124))</f>
        <v>390157</v>
      </c>
      <c r="E125" s="165">
        <f>IF(+J96&lt;F124,J96,D125)</f>
        <v>20787</v>
      </c>
      <c r="F125" s="163">
        <f t="shared" si="31"/>
        <v>369370</v>
      </c>
      <c r="G125" s="163">
        <f t="shared" si="32"/>
        <v>379763.5</v>
      </c>
      <c r="H125" s="167">
        <f t="shared" si="33"/>
        <v>59802.218432674264</v>
      </c>
      <c r="I125" s="317">
        <f t="shared" si="34"/>
        <v>59802.218432674264</v>
      </c>
      <c r="J125" s="162">
        <f t="shared" si="21"/>
        <v>0</v>
      </c>
      <c r="K125" s="162"/>
      <c r="L125" s="335"/>
      <c r="M125" s="162">
        <f t="shared" si="23"/>
        <v>0</v>
      </c>
      <c r="N125" s="335"/>
      <c r="O125" s="162">
        <f t="shared" si="25"/>
        <v>0</v>
      </c>
      <c r="P125" s="162">
        <f t="shared" si="26"/>
        <v>0</v>
      </c>
    </row>
    <row r="126" spans="2:16">
      <c r="B126" s="9" t="str">
        <f t="shared" si="27"/>
        <v/>
      </c>
      <c r="C126" s="157">
        <f>IF(D93="","-",+C125+1)</f>
        <v>2036</v>
      </c>
      <c r="D126" s="158">
        <f>IF(F125+SUM(E$99:E125)=D$92,F125,D$92-SUM(E$99:E125))</f>
        <v>369370</v>
      </c>
      <c r="E126" s="165">
        <f>IF(+J96&lt;F125,J96,D126)</f>
        <v>20787</v>
      </c>
      <c r="F126" s="163">
        <f t="shared" si="31"/>
        <v>348583</v>
      </c>
      <c r="G126" s="163">
        <f t="shared" si="32"/>
        <v>358976.5</v>
      </c>
      <c r="H126" s="167">
        <f t="shared" si="33"/>
        <v>57666.654205043124</v>
      </c>
      <c r="I126" s="317">
        <f t="shared" si="34"/>
        <v>57666.654205043124</v>
      </c>
      <c r="J126" s="162">
        <f t="shared" si="21"/>
        <v>0</v>
      </c>
      <c r="K126" s="162"/>
      <c r="L126" s="335"/>
      <c r="M126" s="162">
        <f t="shared" si="23"/>
        <v>0</v>
      </c>
      <c r="N126" s="335"/>
      <c r="O126" s="162">
        <f t="shared" si="25"/>
        <v>0</v>
      </c>
      <c r="P126" s="162">
        <f t="shared" si="26"/>
        <v>0</v>
      </c>
    </row>
    <row r="127" spans="2:16">
      <c r="B127" s="9" t="str">
        <f t="shared" si="27"/>
        <v/>
      </c>
      <c r="C127" s="157">
        <f>IF(D93="","-",+C126+1)</f>
        <v>2037</v>
      </c>
      <c r="D127" s="158">
        <f>IF(F126+SUM(E$99:E126)=D$92,F126,D$92-SUM(E$99:E126))</f>
        <v>348583</v>
      </c>
      <c r="E127" s="165">
        <f>IF(+J96&lt;F126,J96,D127)</f>
        <v>20787</v>
      </c>
      <c r="F127" s="163">
        <f t="shared" si="31"/>
        <v>327796</v>
      </c>
      <c r="G127" s="163">
        <f t="shared" si="32"/>
        <v>338189.5</v>
      </c>
      <c r="H127" s="167">
        <f t="shared" si="33"/>
        <v>55531.089977411975</v>
      </c>
      <c r="I127" s="317">
        <f t="shared" si="34"/>
        <v>55531.089977411975</v>
      </c>
      <c r="J127" s="162">
        <f t="shared" si="21"/>
        <v>0</v>
      </c>
      <c r="K127" s="162"/>
      <c r="L127" s="335"/>
      <c r="M127" s="162">
        <f t="shared" si="23"/>
        <v>0</v>
      </c>
      <c r="N127" s="335"/>
      <c r="O127" s="162">
        <f t="shared" si="25"/>
        <v>0</v>
      </c>
      <c r="P127" s="162">
        <f t="shared" si="26"/>
        <v>0</v>
      </c>
    </row>
    <row r="128" spans="2:16">
      <c r="B128" s="9" t="str">
        <f t="shared" si="27"/>
        <v/>
      </c>
      <c r="C128" s="157">
        <f>IF(D93="","-",+C127+1)</f>
        <v>2038</v>
      </c>
      <c r="D128" s="158">
        <f>IF(F127+SUM(E$99:E127)=D$92,F127,D$92-SUM(E$99:E127))</f>
        <v>327796</v>
      </c>
      <c r="E128" s="165">
        <f>IF(+J96&lt;F127,J96,D128)</f>
        <v>20787</v>
      </c>
      <c r="F128" s="163">
        <f t="shared" si="31"/>
        <v>307009</v>
      </c>
      <c r="G128" s="163">
        <f t="shared" si="32"/>
        <v>317402.5</v>
      </c>
      <c r="H128" s="167">
        <f t="shared" si="33"/>
        <v>53395.525749780834</v>
      </c>
      <c r="I128" s="317">
        <f t="shared" si="34"/>
        <v>53395.525749780834</v>
      </c>
      <c r="J128" s="162">
        <f t="shared" si="21"/>
        <v>0</v>
      </c>
      <c r="K128" s="162"/>
      <c r="L128" s="335"/>
      <c r="M128" s="162">
        <f t="shared" si="23"/>
        <v>0</v>
      </c>
      <c r="N128" s="335"/>
      <c r="O128" s="162">
        <f t="shared" si="25"/>
        <v>0</v>
      </c>
      <c r="P128" s="162">
        <f t="shared" si="26"/>
        <v>0</v>
      </c>
    </row>
    <row r="129" spans="2:16">
      <c r="B129" s="9" t="str">
        <f t="shared" si="27"/>
        <v/>
      </c>
      <c r="C129" s="157">
        <f>IF(D93="","-",+C128+1)</f>
        <v>2039</v>
      </c>
      <c r="D129" s="158">
        <f>IF(F128+SUM(E$99:E128)=D$92,F128,D$92-SUM(E$99:E128))</f>
        <v>307009</v>
      </c>
      <c r="E129" s="165">
        <f>IF(+J96&lt;F128,J96,D129)</f>
        <v>20787</v>
      </c>
      <c r="F129" s="163">
        <f t="shared" si="31"/>
        <v>286222</v>
      </c>
      <c r="G129" s="163">
        <f t="shared" si="32"/>
        <v>296615.5</v>
      </c>
      <c r="H129" s="167">
        <f t="shared" si="33"/>
        <v>51259.961522149693</v>
      </c>
      <c r="I129" s="317">
        <f t="shared" si="34"/>
        <v>51259.961522149693</v>
      </c>
      <c r="J129" s="162">
        <f t="shared" si="21"/>
        <v>0</v>
      </c>
      <c r="K129" s="162"/>
      <c r="L129" s="335"/>
      <c r="M129" s="162">
        <f t="shared" si="23"/>
        <v>0</v>
      </c>
      <c r="N129" s="335"/>
      <c r="O129" s="162">
        <f t="shared" si="25"/>
        <v>0</v>
      </c>
      <c r="P129" s="162">
        <f t="shared" si="26"/>
        <v>0</v>
      </c>
    </row>
    <row r="130" spans="2:16">
      <c r="B130" s="9" t="str">
        <f t="shared" si="27"/>
        <v/>
      </c>
      <c r="C130" s="157">
        <f>IF(D93="","-",+C129+1)</f>
        <v>2040</v>
      </c>
      <c r="D130" s="158">
        <f>IF(F129+SUM(E$99:E129)=D$92,F129,D$92-SUM(E$99:E129))</f>
        <v>286222</v>
      </c>
      <c r="E130" s="165">
        <f>IF(+J96&lt;F129,J96,D130)</f>
        <v>20787</v>
      </c>
      <c r="F130" s="163">
        <f t="shared" si="31"/>
        <v>265435</v>
      </c>
      <c r="G130" s="163">
        <f t="shared" si="32"/>
        <v>275828.5</v>
      </c>
      <c r="H130" s="167">
        <f t="shared" si="33"/>
        <v>49124.397294518545</v>
      </c>
      <c r="I130" s="317">
        <f t="shared" si="34"/>
        <v>49124.397294518545</v>
      </c>
      <c r="J130" s="162">
        <f t="shared" si="21"/>
        <v>0</v>
      </c>
      <c r="K130" s="162"/>
      <c r="L130" s="335"/>
      <c r="M130" s="162">
        <f t="shared" si="23"/>
        <v>0</v>
      </c>
      <c r="N130" s="335"/>
      <c r="O130" s="162">
        <f t="shared" si="25"/>
        <v>0</v>
      </c>
      <c r="P130" s="162">
        <f t="shared" si="26"/>
        <v>0</v>
      </c>
    </row>
    <row r="131" spans="2:16">
      <c r="B131" s="9" t="str">
        <f t="shared" si="27"/>
        <v/>
      </c>
      <c r="C131" s="157">
        <f>IF(D93="","-",+C130+1)</f>
        <v>2041</v>
      </c>
      <c r="D131" s="158">
        <f>IF(F130+SUM(E$99:E130)=D$92,F130,D$92-SUM(E$99:E130))</f>
        <v>265435</v>
      </c>
      <c r="E131" s="165">
        <f>IF(+J96&lt;F130,J96,D131)</f>
        <v>20787</v>
      </c>
      <c r="F131" s="163">
        <f t="shared" ref="F131:F154" si="35">+D131-E131</f>
        <v>244648</v>
      </c>
      <c r="G131" s="163">
        <f t="shared" ref="G131:G154" si="36">+(F131+D131)/2</f>
        <v>255041.5</v>
      </c>
      <c r="H131" s="167">
        <f t="shared" si="33"/>
        <v>46988.833066887397</v>
      </c>
      <c r="I131" s="317">
        <f t="shared" si="34"/>
        <v>46988.833066887397</v>
      </c>
      <c r="J131" s="162">
        <f t="shared" ref="J131:J154" si="37">+I131-H131</f>
        <v>0</v>
      </c>
      <c r="K131" s="162"/>
      <c r="L131" s="335"/>
      <c r="M131" s="162">
        <f t="shared" ref="M131:M154" si="38">IF(L131&lt;&gt;0,+H131-L131,0)</f>
        <v>0</v>
      </c>
      <c r="N131" s="335"/>
      <c r="O131" s="162">
        <f t="shared" ref="O131:O154" si="39">IF(N131&lt;&gt;0,+I131-N131,0)</f>
        <v>0</v>
      </c>
      <c r="P131" s="162">
        <f t="shared" ref="P131:P154" si="40">+O131-M131</f>
        <v>0</v>
      </c>
    </row>
    <row r="132" spans="2:16">
      <c r="B132" s="9" t="str">
        <f t="shared" si="27"/>
        <v/>
      </c>
      <c r="C132" s="157">
        <f>IF(D93="","-",+C131+1)</f>
        <v>2042</v>
      </c>
      <c r="D132" s="158">
        <f>IF(F131+SUM(E$99:E131)=D$92,F131,D$92-SUM(E$99:E131))</f>
        <v>244648</v>
      </c>
      <c r="E132" s="165">
        <f>IF(+J96&lt;F131,J96,D132)</f>
        <v>20787</v>
      </c>
      <c r="F132" s="163">
        <f t="shared" si="35"/>
        <v>223861</v>
      </c>
      <c r="G132" s="163">
        <f t="shared" si="36"/>
        <v>234254.5</v>
      </c>
      <c r="H132" s="167">
        <f t="shared" ref="H132:H154" si="41">+J$94*G132+E132</f>
        <v>44853.268839256256</v>
      </c>
      <c r="I132" s="317">
        <f t="shared" ref="I132:I154" si="42">+J$95*G132+E132</f>
        <v>44853.268839256256</v>
      </c>
      <c r="J132" s="162">
        <f t="shared" si="37"/>
        <v>0</v>
      </c>
      <c r="K132" s="162"/>
      <c r="L132" s="335"/>
      <c r="M132" s="162">
        <f t="shared" si="38"/>
        <v>0</v>
      </c>
      <c r="N132" s="335"/>
      <c r="O132" s="162">
        <f t="shared" si="39"/>
        <v>0</v>
      </c>
      <c r="P132" s="162">
        <f t="shared" si="40"/>
        <v>0</v>
      </c>
    </row>
    <row r="133" spans="2:16">
      <c r="B133" s="9" t="str">
        <f t="shared" si="27"/>
        <v/>
      </c>
      <c r="C133" s="157">
        <f>IF(D93="","-",+C132+1)</f>
        <v>2043</v>
      </c>
      <c r="D133" s="158">
        <f>IF(F132+SUM(E$99:E132)=D$92,F132,D$92-SUM(E$99:E132))</f>
        <v>223861</v>
      </c>
      <c r="E133" s="165">
        <f>IF(+J96&lt;F132,J96,D133)</f>
        <v>20787</v>
      </c>
      <c r="F133" s="163">
        <f t="shared" si="35"/>
        <v>203074</v>
      </c>
      <c r="G133" s="163">
        <f t="shared" si="36"/>
        <v>213467.5</v>
      </c>
      <c r="H133" s="167">
        <f t="shared" si="41"/>
        <v>42717.704611625115</v>
      </c>
      <c r="I133" s="317">
        <f t="shared" si="42"/>
        <v>42717.704611625115</v>
      </c>
      <c r="J133" s="162">
        <f t="shared" si="37"/>
        <v>0</v>
      </c>
      <c r="K133" s="162"/>
      <c r="L133" s="335"/>
      <c r="M133" s="162">
        <f t="shared" si="38"/>
        <v>0</v>
      </c>
      <c r="N133" s="335"/>
      <c r="O133" s="162">
        <f t="shared" si="39"/>
        <v>0</v>
      </c>
      <c r="P133" s="162">
        <f t="shared" si="40"/>
        <v>0</v>
      </c>
    </row>
    <row r="134" spans="2:16">
      <c r="B134" s="9" t="str">
        <f t="shared" si="27"/>
        <v/>
      </c>
      <c r="C134" s="157">
        <f>IF(D93="","-",+C133+1)</f>
        <v>2044</v>
      </c>
      <c r="D134" s="158">
        <f>IF(F133+SUM(E$99:E133)=D$92,F133,D$92-SUM(E$99:E133))</f>
        <v>203074</v>
      </c>
      <c r="E134" s="165">
        <f>IF(+J96&lt;F133,J96,D134)</f>
        <v>20787</v>
      </c>
      <c r="F134" s="163">
        <f t="shared" si="35"/>
        <v>182287</v>
      </c>
      <c r="G134" s="163">
        <f t="shared" si="36"/>
        <v>192680.5</v>
      </c>
      <c r="H134" s="167">
        <f t="shared" si="41"/>
        <v>40582.140383993974</v>
      </c>
      <c r="I134" s="317">
        <f t="shared" si="42"/>
        <v>40582.140383993974</v>
      </c>
      <c r="J134" s="162">
        <f t="shared" si="37"/>
        <v>0</v>
      </c>
      <c r="K134" s="162"/>
      <c r="L134" s="335"/>
      <c r="M134" s="162">
        <f t="shared" si="38"/>
        <v>0</v>
      </c>
      <c r="N134" s="335"/>
      <c r="O134" s="162">
        <f t="shared" si="39"/>
        <v>0</v>
      </c>
      <c r="P134" s="162">
        <f t="shared" si="40"/>
        <v>0</v>
      </c>
    </row>
    <row r="135" spans="2:16">
      <c r="B135" s="9" t="str">
        <f t="shared" si="27"/>
        <v/>
      </c>
      <c r="C135" s="157">
        <f>IF(D93="","-",+C134+1)</f>
        <v>2045</v>
      </c>
      <c r="D135" s="158">
        <f>IF(F134+SUM(E$99:E134)=D$92,F134,D$92-SUM(E$99:E134))</f>
        <v>182287</v>
      </c>
      <c r="E135" s="165">
        <f>IF(+J96&lt;F134,J96,D135)</f>
        <v>20787</v>
      </c>
      <c r="F135" s="163">
        <f t="shared" si="35"/>
        <v>161500</v>
      </c>
      <c r="G135" s="163">
        <f t="shared" si="36"/>
        <v>171893.5</v>
      </c>
      <c r="H135" s="167">
        <f t="shared" si="41"/>
        <v>38446.576156362826</v>
      </c>
      <c r="I135" s="317">
        <f t="shared" si="42"/>
        <v>38446.576156362826</v>
      </c>
      <c r="J135" s="162">
        <f t="shared" si="37"/>
        <v>0</v>
      </c>
      <c r="K135" s="162"/>
      <c r="L135" s="335"/>
      <c r="M135" s="162">
        <f t="shared" si="38"/>
        <v>0</v>
      </c>
      <c r="N135" s="335"/>
      <c r="O135" s="162">
        <f t="shared" si="39"/>
        <v>0</v>
      </c>
      <c r="P135" s="162">
        <f t="shared" si="40"/>
        <v>0</v>
      </c>
    </row>
    <row r="136" spans="2:16">
      <c r="B136" s="9" t="str">
        <f t="shared" si="27"/>
        <v/>
      </c>
      <c r="C136" s="157">
        <f>IF(D93="","-",+C135+1)</f>
        <v>2046</v>
      </c>
      <c r="D136" s="158">
        <f>IF(F135+SUM(E$99:E135)=D$92,F135,D$92-SUM(E$99:E135))</f>
        <v>161500</v>
      </c>
      <c r="E136" s="165">
        <f>IF(+J96&lt;F135,J96,D136)</f>
        <v>20787</v>
      </c>
      <c r="F136" s="163">
        <f t="shared" si="35"/>
        <v>140713</v>
      </c>
      <c r="G136" s="163">
        <f t="shared" si="36"/>
        <v>151106.5</v>
      </c>
      <c r="H136" s="167">
        <f t="shared" si="41"/>
        <v>36311.011928731677</v>
      </c>
      <c r="I136" s="317">
        <f t="shared" si="42"/>
        <v>36311.011928731677</v>
      </c>
      <c r="J136" s="162">
        <f t="shared" si="37"/>
        <v>0</v>
      </c>
      <c r="K136" s="162"/>
      <c r="L136" s="335"/>
      <c r="M136" s="162">
        <f t="shared" si="38"/>
        <v>0</v>
      </c>
      <c r="N136" s="335"/>
      <c r="O136" s="162">
        <f t="shared" si="39"/>
        <v>0</v>
      </c>
      <c r="P136" s="162">
        <f t="shared" si="40"/>
        <v>0</v>
      </c>
    </row>
    <row r="137" spans="2:16">
      <c r="B137" s="9" t="str">
        <f t="shared" si="27"/>
        <v/>
      </c>
      <c r="C137" s="157">
        <f>IF(D93="","-",+C136+1)</f>
        <v>2047</v>
      </c>
      <c r="D137" s="158">
        <f>IF(F136+SUM(E$99:E136)=D$92,F136,D$92-SUM(E$99:E136))</f>
        <v>140713</v>
      </c>
      <c r="E137" s="165">
        <f>IF(+J96&lt;F136,J96,D137)</f>
        <v>20787</v>
      </c>
      <c r="F137" s="163">
        <f t="shared" si="35"/>
        <v>119926</v>
      </c>
      <c r="G137" s="163">
        <f t="shared" si="36"/>
        <v>130319.5</v>
      </c>
      <c r="H137" s="167">
        <f t="shared" si="41"/>
        <v>34175.447701100537</v>
      </c>
      <c r="I137" s="317">
        <f t="shared" si="42"/>
        <v>34175.447701100537</v>
      </c>
      <c r="J137" s="162">
        <f t="shared" si="37"/>
        <v>0</v>
      </c>
      <c r="K137" s="162"/>
      <c r="L137" s="335"/>
      <c r="M137" s="162">
        <f t="shared" si="38"/>
        <v>0</v>
      </c>
      <c r="N137" s="335"/>
      <c r="O137" s="162">
        <f t="shared" si="39"/>
        <v>0</v>
      </c>
      <c r="P137" s="162">
        <f t="shared" si="40"/>
        <v>0</v>
      </c>
    </row>
    <row r="138" spans="2:16">
      <c r="B138" s="9" t="str">
        <f t="shared" si="27"/>
        <v/>
      </c>
      <c r="C138" s="157">
        <f>IF(D93="","-",+C137+1)</f>
        <v>2048</v>
      </c>
      <c r="D138" s="158">
        <f>IF(F137+SUM(E$99:E137)=D$92,F137,D$92-SUM(E$99:E137))</f>
        <v>119926</v>
      </c>
      <c r="E138" s="165">
        <f>IF(+J96&lt;F137,J96,D138)</f>
        <v>20787</v>
      </c>
      <c r="F138" s="163">
        <f t="shared" si="35"/>
        <v>99139</v>
      </c>
      <c r="G138" s="163">
        <f t="shared" si="36"/>
        <v>109532.5</v>
      </c>
      <c r="H138" s="167">
        <f t="shared" si="41"/>
        <v>32039.883473469396</v>
      </c>
      <c r="I138" s="317">
        <f t="shared" si="42"/>
        <v>32039.883473469396</v>
      </c>
      <c r="J138" s="162">
        <f t="shared" si="37"/>
        <v>0</v>
      </c>
      <c r="K138" s="162"/>
      <c r="L138" s="335"/>
      <c r="M138" s="162">
        <f t="shared" si="38"/>
        <v>0</v>
      </c>
      <c r="N138" s="335"/>
      <c r="O138" s="162">
        <f t="shared" si="39"/>
        <v>0</v>
      </c>
      <c r="P138" s="162">
        <f t="shared" si="40"/>
        <v>0</v>
      </c>
    </row>
    <row r="139" spans="2:16">
      <c r="B139" s="9" t="str">
        <f t="shared" si="27"/>
        <v/>
      </c>
      <c r="C139" s="157">
        <f>IF(D93="","-",+C138+1)</f>
        <v>2049</v>
      </c>
      <c r="D139" s="158">
        <f>IF(F138+SUM(E$99:E138)=D$92,F138,D$92-SUM(E$99:E138))</f>
        <v>99139</v>
      </c>
      <c r="E139" s="165">
        <f>IF(+J96&lt;F138,J96,D139)</f>
        <v>20787</v>
      </c>
      <c r="F139" s="163">
        <f t="shared" si="35"/>
        <v>78352</v>
      </c>
      <c r="G139" s="163">
        <f t="shared" si="36"/>
        <v>88745.5</v>
      </c>
      <c r="H139" s="167">
        <f t="shared" si="41"/>
        <v>29904.319245838247</v>
      </c>
      <c r="I139" s="317">
        <f t="shared" si="42"/>
        <v>29904.319245838247</v>
      </c>
      <c r="J139" s="162">
        <f t="shared" si="37"/>
        <v>0</v>
      </c>
      <c r="K139" s="162"/>
      <c r="L139" s="335"/>
      <c r="M139" s="162">
        <f t="shared" si="38"/>
        <v>0</v>
      </c>
      <c r="N139" s="335"/>
      <c r="O139" s="162">
        <f t="shared" si="39"/>
        <v>0</v>
      </c>
      <c r="P139" s="162">
        <f t="shared" si="40"/>
        <v>0</v>
      </c>
    </row>
    <row r="140" spans="2:16">
      <c r="B140" s="9" t="str">
        <f t="shared" si="27"/>
        <v/>
      </c>
      <c r="C140" s="157">
        <f>IF(D93="","-",+C139+1)</f>
        <v>2050</v>
      </c>
      <c r="D140" s="158">
        <f>IF(F139+SUM(E$99:E139)=D$92,F139,D$92-SUM(E$99:E139))</f>
        <v>78352</v>
      </c>
      <c r="E140" s="165">
        <f>IF(+J96&lt;F139,J96,D140)</f>
        <v>20787</v>
      </c>
      <c r="F140" s="163">
        <f t="shared" si="35"/>
        <v>57565</v>
      </c>
      <c r="G140" s="163">
        <f t="shared" si="36"/>
        <v>67958.5</v>
      </c>
      <c r="H140" s="167">
        <f t="shared" si="41"/>
        <v>27768.755018207106</v>
      </c>
      <c r="I140" s="317">
        <f t="shared" si="42"/>
        <v>27768.755018207106</v>
      </c>
      <c r="J140" s="162">
        <f t="shared" si="37"/>
        <v>0</v>
      </c>
      <c r="K140" s="162"/>
      <c r="L140" s="335"/>
      <c r="M140" s="162">
        <f t="shared" si="38"/>
        <v>0</v>
      </c>
      <c r="N140" s="335"/>
      <c r="O140" s="162">
        <f t="shared" si="39"/>
        <v>0</v>
      </c>
      <c r="P140" s="162">
        <f t="shared" si="40"/>
        <v>0</v>
      </c>
    </row>
    <row r="141" spans="2:16">
      <c r="B141" s="9" t="str">
        <f t="shared" si="27"/>
        <v/>
      </c>
      <c r="C141" s="157">
        <f>IF(D93="","-",+C140+1)</f>
        <v>2051</v>
      </c>
      <c r="D141" s="158">
        <f>IF(F140+SUM(E$99:E140)=D$92,F140,D$92-SUM(E$99:E140))</f>
        <v>57565</v>
      </c>
      <c r="E141" s="165">
        <f>IF(+J96&lt;F140,J96,D141)</f>
        <v>20787</v>
      </c>
      <c r="F141" s="163">
        <f t="shared" si="35"/>
        <v>36778</v>
      </c>
      <c r="G141" s="163">
        <f t="shared" si="36"/>
        <v>47171.5</v>
      </c>
      <c r="H141" s="167">
        <f t="shared" si="41"/>
        <v>25633.190790575962</v>
      </c>
      <c r="I141" s="317">
        <f t="shared" si="42"/>
        <v>25633.190790575962</v>
      </c>
      <c r="J141" s="162">
        <f t="shared" si="37"/>
        <v>0</v>
      </c>
      <c r="K141" s="162"/>
      <c r="L141" s="335"/>
      <c r="M141" s="162">
        <f t="shared" si="38"/>
        <v>0</v>
      </c>
      <c r="N141" s="335"/>
      <c r="O141" s="162">
        <f t="shared" si="39"/>
        <v>0</v>
      </c>
      <c r="P141" s="162">
        <f t="shared" si="40"/>
        <v>0</v>
      </c>
    </row>
    <row r="142" spans="2:16">
      <c r="B142" s="9" t="str">
        <f t="shared" si="27"/>
        <v/>
      </c>
      <c r="C142" s="157">
        <f>IF(D93="","-",+C141+1)</f>
        <v>2052</v>
      </c>
      <c r="D142" s="158">
        <f>IF(F141+SUM(E$99:E141)=D$92,F141,D$92-SUM(E$99:E141))</f>
        <v>36778</v>
      </c>
      <c r="E142" s="165">
        <f>IF(+J96&lt;F141,J96,D142)</f>
        <v>20787</v>
      </c>
      <c r="F142" s="163">
        <f t="shared" si="35"/>
        <v>15991</v>
      </c>
      <c r="G142" s="163">
        <f t="shared" si="36"/>
        <v>26384.5</v>
      </c>
      <c r="H142" s="167">
        <f t="shared" si="41"/>
        <v>23497.626562944817</v>
      </c>
      <c r="I142" s="317">
        <f t="shared" si="42"/>
        <v>23497.626562944817</v>
      </c>
      <c r="J142" s="162">
        <f t="shared" si="37"/>
        <v>0</v>
      </c>
      <c r="K142" s="162"/>
      <c r="L142" s="335"/>
      <c r="M142" s="162">
        <f t="shared" si="38"/>
        <v>0</v>
      </c>
      <c r="N142" s="335"/>
      <c r="O142" s="162">
        <f t="shared" si="39"/>
        <v>0</v>
      </c>
      <c r="P142" s="162">
        <f t="shared" si="40"/>
        <v>0</v>
      </c>
    </row>
    <row r="143" spans="2:16">
      <c r="B143" s="9" t="str">
        <f t="shared" si="27"/>
        <v/>
      </c>
      <c r="C143" s="157">
        <f>IF(D93="","-",+C142+1)</f>
        <v>2053</v>
      </c>
      <c r="D143" s="158">
        <f>IF(F142+SUM(E$99:E142)=D$92,F142,D$92-SUM(E$99:E142))</f>
        <v>15991</v>
      </c>
      <c r="E143" s="165">
        <f>IF(+J96&lt;F142,J96,D143)</f>
        <v>15991</v>
      </c>
      <c r="F143" s="163">
        <f t="shared" si="35"/>
        <v>0</v>
      </c>
      <c r="G143" s="163">
        <f t="shared" si="36"/>
        <v>7995.5</v>
      </c>
      <c r="H143" s="167">
        <f t="shared" si="41"/>
        <v>16812.422224564623</v>
      </c>
      <c r="I143" s="317">
        <f t="shared" si="42"/>
        <v>16812.422224564623</v>
      </c>
      <c r="J143" s="162">
        <f t="shared" si="37"/>
        <v>0</v>
      </c>
      <c r="K143" s="162"/>
      <c r="L143" s="335"/>
      <c r="M143" s="162">
        <f t="shared" si="38"/>
        <v>0</v>
      </c>
      <c r="N143" s="335"/>
      <c r="O143" s="162">
        <f t="shared" si="39"/>
        <v>0</v>
      </c>
      <c r="P143" s="162">
        <f t="shared" si="40"/>
        <v>0</v>
      </c>
    </row>
    <row r="144" spans="2:16">
      <c r="B144" s="9" t="str">
        <f t="shared" si="27"/>
        <v/>
      </c>
      <c r="C144" s="157">
        <f>IF(D93="","-",+C143+1)</f>
        <v>2054</v>
      </c>
      <c r="D144" s="158">
        <f>IF(F143+SUM(E$99:E143)=D$92,F143,D$92-SUM(E$99:E143))</f>
        <v>0</v>
      </c>
      <c r="E144" s="165">
        <f>IF(+J96&lt;F143,J96,D144)</f>
        <v>0</v>
      </c>
      <c r="F144" s="163">
        <f t="shared" si="35"/>
        <v>0</v>
      </c>
      <c r="G144" s="163">
        <f t="shared" si="36"/>
        <v>0</v>
      </c>
      <c r="H144" s="167">
        <f t="shared" si="41"/>
        <v>0</v>
      </c>
      <c r="I144" s="317">
        <f t="shared" si="42"/>
        <v>0</v>
      </c>
      <c r="J144" s="162">
        <f t="shared" si="37"/>
        <v>0</v>
      </c>
      <c r="K144" s="162"/>
      <c r="L144" s="335"/>
      <c r="M144" s="162">
        <f t="shared" si="38"/>
        <v>0</v>
      </c>
      <c r="N144" s="335"/>
      <c r="O144" s="162">
        <f t="shared" si="39"/>
        <v>0</v>
      </c>
      <c r="P144" s="162">
        <f t="shared" si="40"/>
        <v>0</v>
      </c>
    </row>
    <row r="145" spans="2:16">
      <c r="B145" s="9" t="str">
        <f t="shared" si="27"/>
        <v/>
      </c>
      <c r="C145" s="157">
        <f>IF(D93="","-",+C144+1)</f>
        <v>2055</v>
      </c>
      <c r="D145" s="158">
        <f>IF(F144+SUM(E$99:E144)=D$92,F144,D$92-SUM(E$99:E144))</f>
        <v>0</v>
      </c>
      <c r="E145" s="165">
        <f>IF(+J96&lt;F144,J96,D145)</f>
        <v>0</v>
      </c>
      <c r="F145" s="163">
        <f t="shared" si="35"/>
        <v>0</v>
      </c>
      <c r="G145" s="163">
        <f t="shared" si="36"/>
        <v>0</v>
      </c>
      <c r="H145" s="167">
        <f t="shared" si="41"/>
        <v>0</v>
      </c>
      <c r="I145" s="317">
        <f t="shared" si="42"/>
        <v>0</v>
      </c>
      <c r="J145" s="162">
        <f t="shared" si="37"/>
        <v>0</v>
      </c>
      <c r="K145" s="162"/>
      <c r="L145" s="335"/>
      <c r="M145" s="162">
        <f t="shared" si="38"/>
        <v>0</v>
      </c>
      <c r="N145" s="335"/>
      <c r="O145" s="162">
        <f t="shared" si="39"/>
        <v>0</v>
      </c>
      <c r="P145" s="162">
        <f t="shared" si="40"/>
        <v>0</v>
      </c>
    </row>
    <row r="146" spans="2:16">
      <c r="B146" s="9" t="str">
        <f t="shared" si="27"/>
        <v/>
      </c>
      <c r="C146" s="157">
        <f>IF(D93="","-",+C145+1)</f>
        <v>2056</v>
      </c>
      <c r="D146" s="158">
        <f>IF(F145+SUM(E$99:E145)=D$92,F145,D$92-SUM(E$99:E145))</f>
        <v>0</v>
      </c>
      <c r="E146" s="165">
        <f>IF(+J96&lt;F145,J96,D146)</f>
        <v>0</v>
      </c>
      <c r="F146" s="163">
        <f t="shared" si="35"/>
        <v>0</v>
      </c>
      <c r="G146" s="163">
        <f t="shared" si="36"/>
        <v>0</v>
      </c>
      <c r="H146" s="167">
        <f t="shared" si="41"/>
        <v>0</v>
      </c>
      <c r="I146" s="317">
        <f t="shared" si="42"/>
        <v>0</v>
      </c>
      <c r="J146" s="162">
        <f t="shared" si="37"/>
        <v>0</v>
      </c>
      <c r="K146" s="162"/>
      <c r="L146" s="335"/>
      <c r="M146" s="162">
        <f t="shared" si="38"/>
        <v>0</v>
      </c>
      <c r="N146" s="335"/>
      <c r="O146" s="162">
        <f t="shared" si="39"/>
        <v>0</v>
      </c>
      <c r="P146" s="162">
        <f t="shared" si="40"/>
        <v>0</v>
      </c>
    </row>
    <row r="147" spans="2:16">
      <c r="B147" s="9" t="str">
        <f t="shared" si="27"/>
        <v/>
      </c>
      <c r="C147" s="157">
        <f>IF(D93="","-",+C146+1)</f>
        <v>2057</v>
      </c>
      <c r="D147" s="158">
        <f>IF(F146+SUM(E$99:E146)=D$92,F146,D$92-SUM(E$99:E146))</f>
        <v>0</v>
      </c>
      <c r="E147" s="165">
        <f>IF(+J96&lt;F146,J96,D147)</f>
        <v>0</v>
      </c>
      <c r="F147" s="163">
        <f t="shared" si="35"/>
        <v>0</v>
      </c>
      <c r="G147" s="163">
        <f t="shared" si="36"/>
        <v>0</v>
      </c>
      <c r="H147" s="167">
        <f t="shared" si="41"/>
        <v>0</v>
      </c>
      <c r="I147" s="317">
        <f t="shared" si="42"/>
        <v>0</v>
      </c>
      <c r="J147" s="162">
        <f t="shared" si="37"/>
        <v>0</v>
      </c>
      <c r="K147" s="162"/>
      <c r="L147" s="335"/>
      <c r="M147" s="162">
        <f t="shared" si="38"/>
        <v>0</v>
      </c>
      <c r="N147" s="335"/>
      <c r="O147" s="162">
        <f t="shared" si="39"/>
        <v>0</v>
      </c>
      <c r="P147" s="162">
        <f t="shared" si="40"/>
        <v>0</v>
      </c>
    </row>
    <row r="148" spans="2:16">
      <c r="B148" s="9" t="str">
        <f t="shared" si="27"/>
        <v/>
      </c>
      <c r="C148" s="157">
        <f>IF(D93="","-",+C147+1)</f>
        <v>2058</v>
      </c>
      <c r="D148" s="158">
        <f>IF(F147+SUM(E$99:E147)=D$92,F147,D$92-SUM(E$99:E147))</f>
        <v>0</v>
      </c>
      <c r="E148" s="165">
        <f>IF(+J96&lt;F147,J96,D148)</f>
        <v>0</v>
      </c>
      <c r="F148" s="163">
        <f t="shared" si="35"/>
        <v>0</v>
      </c>
      <c r="G148" s="163">
        <f t="shared" si="36"/>
        <v>0</v>
      </c>
      <c r="H148" s="167">
        <f t="shared" si="41"/>
        <v>0</v>
      </c>
      <c r="I148" s="317">
        <f t="shared" si="42"/>
        <v>0</v>
      </c>
      <c r="J148" s="162">
        <f t="shared" si="37"/>
        <v>0</v>
      </c>
      <c r="K148" s="162"/>
      <c r="L148" s="335"/>
      <c r="M148" s="162">
        <f t="shared" si="38"/>
        <v>0</v>
      </c>
      <c r="N148" s="335"/>
      <c r="O148" s="162">
        <f t="shared" si="39"/>
        <v>0</v>
      </c>
      <c r="P148" s="162">
        <f t="shared" si="40"/>
        <v>0</v>
      </c>
    </row>
    <row r="149" spans="2:16">
      <c r="B149" s="9" t="str">
        <f t="shared" si="27"/>
        <v/>
      </c>
      <c r="C149" s="157">
        <f>IF(D93="","-",+C148+1)</f>
        <v>2059</v>
      </c>
      <c r="D149" s="158">
        <f>IF(F148+SUM(E$99:E148)=D$92,F148,D$92-SUM(E$99:E148))</f>
        <v>0</v>
      </c>
      <c r="E149" s="165">
        <f>IF(+J96&lt;F148,J96,D149)</f>
        <v>0</v>
      </c>
      <c r="F149" s="163">
        <f t="shared" si="35"/>
        <v>0</v>
      </c>
      <c r="G149" s="163">
        <f t="shared" si="36"/>
        <v>0</v>
      </c>
      <c r="H149" s="167">
        <f t="shared" si="41"/>
        <v>0</v>
      </c>
      <c r="I149" s="317">
        <f t="shared" si="42"/>
        <v>0</v>
      </c>
      <c r="J149" s="162">
        <f t="shared" si="37"/>
        <v>0</v>
      </c>
      <c r="K149" s="162"/>
      <c r="L149" s="335"/>
      <c r="M149" s="162">
        <f t="shared" si="38"/>
        <v>0</v>
      </c>
      <c r="N149" s="335"/>
      <c r="O149" s="162">
        <f t="shared" si="39"/>
        <v>0</v>
      </c>
      <c r="P149" s="162">
        <f t="shared" si="40"/>
        <v>0</v>
      </c>
    </row>
    <row r="150" spans="2:16">
      <c r="B150" s="9" t="str">
        <f t="shared" si="27"/>
        <v/>
      </c>
      <c r="C150" s="157">
        <f>IF(D93="","-",+C149+1)</f>
        <v>2060</v>
      </c>
      <c r="D150" s="158">
        <f>IF(F149+SUM(E$99:E149)=D$92,F149,D$92-SUM(E$99:E149))</f>
        <v>0</v>
      </c>
      <c r="E150" s="165">
        <f>IF(+J96&lt;F149,J96,D150)</f>
        <v>0</v>
      </c>
      <c r="F150" s="163">
        <f t="shared" si="35"/>
        <v>0</v>
      </c>
      <c r="G150" s="163">
        <f t="shared" si="36"/>
        <v>0</v>
      </c>
      <c r="H150" s="167">
        <f t="shared" si="41"/>
        <v>0</v>
      </c>
      <c r="I150" s="317">
        <f t="shared" si="42"/>
        <v>0</v>
      </c>
      <c r="J150" s="162">
        <f t="shared" si="37"/>
        <v>0</v>
      </c>
      <c r="K150" s="162"/>
      <c r="L150" s="335"/>
      <c r="M150" s="162">
        <f t="shared" si="38"/>
        <v>0</v>
      </c>
      <c r="N150" s="335"/>
      <c r="O150" s="162">
        <f t="shared" si="39"/>
        <v>0</v>
      </c>
      <c r="P150" s="162">
        <f t="shared" si="40"/>
        <v>0</v>
      </c>
    </row>
    <row r="151" spans="2:16">
      <c r="B151" s="9" t="str">
        <f t="shared" si="27"/>
        <v/>
      </c>
      <c r="C151" s="157">
        <f>IF(D93="","-",+C150+1)</f>
        <v>2061</v>
      </c>
      <c r="D151" s="158">
        <f>IF(F150+SUM(E$99:E150)=D$92,F150,D$92-SUM(E$99:E150))</f>
        <v>0</v>
      </c>
      <c r="E151" s="165">
        <f>IF(+J96&lt;F150,J96,D151)</f>
        <v>0</v>
      </c>
      <c r="F151" s="163">
        <f t="shared" si="35"/>
        <v>0</v>
      </c>
      <c r="G151" s="163">
        <f t="shared" si="36"/>
        <v>0</v>
      </c>
      <c r="H151" s="167">
        <f t="shared" si="41"/>
        <v>0</v>
      </c>
      <c r="I151" s="317">
        <f t="shared" si="42"/>
        <v>0</v>
      </c>
      <c r="J151" s="162">
        <f t="shared" si="37"/>
        <v>0</v>
      </c>
      <c r="K151" s="162"/>
      <c r="L151" s="335"/>
      <c r="M151" s="162">
        <f t="shared" si="38"/>
        <v>0</v>
      </c>
      <c r="N151" s="335"/>
      <c r="O151" s="162">
        <f t="shared" si="39"/>
        <v>0</v>
      </c>
      <c r="P151" s="162">
        <f t="shared" si="40"/>
        <v>0</v>
      </c>
    </row>
    <row r="152" spans="2:16">
      <c r="B152" s="9" t="str">
        <f t="shared" si="27"/>
        <v/>
      </c>
      <c r="C152" s="157">
        <f>IF(D93="","-",+C151+1)</f>
        <v>2062</v>
      </c>
      <c r="D152" s="158">
        <f>IF(F151+SUM(E$99:E151)=D$92,F151,D$92-SUM(E$99:E151))</f>
        <v>0</v>
      </c>
      <c r="E152" s="165">
        <f>IF(+J96&lt;F151,J96,D152)</f>
        <v>0</v>
      </c>
      <c r="F152" s="163">
        <f t="shared" si="35"/>
        <v>0</v>
      </c>
      <c r="G152" s="163">
        <f t="shared" si="36"/>
        <v>0</v>
      </c>
      <c r="H152" s="167">
        <f t="shared" si="41"/>
        <v>0</v>
      </c>
      <c r="I152" s="317">
        <f t="shared" si="42"/>
        <v>0</v>
      </c>
      <c r="J152" s="162">
        <f t="shared" si="37"/>
        <v>0</v>
      </c>
      <c r="K152" s="162"/>
      <c r="L152" s="335"/>
      <c r="M152" s="162">
        <f t="shared" si="38"/>
        <v>0</v>
      </c>
      <c r="N152" s="335"/>
      <c r="O152" s="162">
        <f t="shared" si="39"/>
        <v>0</v>
      </c>
      <c r="P152" s="162">
        <f t="shared" si="40"/>
        <v>0</v>
      </c>
    </row>
    <row r="153" spans="2:16">
      <c r="B153" s="9" t="str">
        <f t="shared" si="27"/>
        <v/>
      </c>
      <c r="C153" s="157">
        <f>IF(D93="","-",+C152+1)</f>
        <v>2063</v>
      </c>
      <c r="D153" s="158">
        <f>IF(F152+SUM(E$99:E152)=D$92,F152,D$92-SUM(E$99:E152))</f>
        <v>0</v>
      </c>
      <c r="E153" s="165">
        <f>IF(+J96&lt;F152,J96,D153)</f>
        <v>0</v>
      </c>
      <c r="F153" s="163">
        <f t="shared" si="35"/>
        <v>0</v>
      </c>
      <c r="G153" s="163">
        <f t="shared" si="36"/>
        <v>0</v>
      </c>
      <c r="H153" s="167">
        <f t="shared" si="41"/>
        <v>0</v>
      </c>
      <c r="I153" s="317">
        <f t="shared" si="42"/>
        <v>0</v>
      </c>
      <c r="J153" s="162">
        <f t="shared" si="37"/>
        <v>0</v>
      </c>
      <c r="K153" s="162"/>
      <c r="L153" s="335"/>
      <c r="M153" s="162">
        <f t="shared" si="38"/>
        <v>0</v>
      </c>
      <c r="N153" s="335"/>
      <c r="O153" s="162">
        <f t="shared" si="39"/>
        <v>0</v>
      </c>
      <c r="P153" s="162">
        <f t="shared" si="40"/>
        <v>0</v>
      </c>
    </row>
    <row r="154" spans="2:16" ht="13.5" thickBot="1">
      <c r="B154" s="9" t="str">
        <f t="shared" si="27"/>
        <v/>
      </c>
      <c r="C154" s="168">
        <f>IF(D93="","-",+C153+1)</f>
        <v>2064</v>
      </c>
      <c r="D154" s="219">
        <f>IF(F153+SUM(E$99:E153)=D$92,F153,D$92-SUM(E$99:E153))</f>
        <v>0</v>
      </c>
      <c r="E154" s="377">
        <f>IF(+J96&lt;F153,J96,D154)</f>
        <v>0</v>
      </c>
      <c r="F154" s="169">
        <f t="shared" si="35"/>
        <v>0</v>
      </c>
      <c r="G154" s="169">
        <f t="shared" si="36"/>
        <v>0</v>
      </c>
      <c r="H154" s="171">
        <f t="shared" si="41"/>
        <v>0</v>
      </c>
      <c r="I154" s="318">
        <f t="shared" si="42"/>
        <v>0</v>
      </c>
      <c r="J154" s="173">
        <f t="shared" si="37"/>
        <v>0</v>
      </c>
      <c r="K154" s="162"/>
      <c r="L154" s="336"/>
      <c r="M154" s="173">
        <f t="shared" si="38"/>
        <v>0</v>
      </c>
      <c r="N154" s="336"/>
      <c r="O154" s="173">
        <f t="shared" si="39"/>
        <v>0</v>
      </c>
      <c r="P154" s="173">
        <f t="shared" si="40"/>
        <v>0</v>
      </c>
    </row>
    <row r="155" spans="2:16">
      <c r="C155" s="158" t="s">
        <v>72</v>
      </c>
      <c r="D155" s="115"/>
      <c r="E155" s="115">
        <f>SUM(E99:E154)</f>
        <v>893858</v>
      </c>
      <c r="F155" s="115"/>
      <c r="G155" s="115"/>
      <c r="H155" s="115">
        <f>SUM(H99:H154)</f>
        <v>3242958.7732684496</v>
      </c>
      <c r="I155" s="115">
        <f>SUM(I99:I154)</f>
        <v>3242958.7732684496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 t="s">
        <v>95</v>
      </c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74" t="s">
        <v>102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73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 t="s">
        <v>74</v>
      </c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46" t="s">
        <v>140</v>
      </c>
    </row>
  </sheetData>
  <phoneticPr fontId="0" type="noConversion"/>
  <conditionalFormatting sqref="C17:C72">
    <cfRule type="cellIs" dxfId="60" priority="1" stopIfTrue="1" operator="equal">
      <formula>$I$10</formula>
    </cfRule>
  </conditionalFormatting>
  <conditionalFormatting sqref="C99:C154">
    <cfRule type="cellIs" dxfId="59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0"/>
  <dimension ref="A1:P162"/>
  <sheetViews>
    <sheetView view="pageBreakPreview" topLeftCell="A64" zoomScale="75" zoomScaleNormal="100" workbookViewId="0">
      <selection activeCell="M87" sqref="M87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"&amp;RIGHT(MID(CELL("filename",$A$1),FIND("]",CELL("filename",$A$1))+1,256),1)&amp;" of "&amp;COUNT('P.001:P.xyz - blank'!$P$3)-1</f>
        <v>PSO Project 2 of 28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 t="str">
        <f>"For Calendar Year "&amp;V1-1&amp;" and Projected Year "&amp;V1</f>
        <v xml:space="preserve">For Calendar Year -1 and Projected Year </v>
      </c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275</v>
      </c>
      <c r="L5" s="119"/>
      <c r="M5" s="120"/>
      <c r="N5" s="121">
        <f>VLOOKUP(I10,C17:I72,5)</f>
        <v>502810.28780425031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276</v>
      </c>
      <c r="L6" s="125"/>
      <c r="M6" s="4"/>
      <c r="N6" s="126">
        <f>VLOOKUP(I10,C17:I72,6)</f>
        <v>502810.28780425031</v>
      </c>
      <c r="O6" s="1"/>
      <c r="P6" s="1"/>
    </row>
    <row r="7" spans="1:16" ht="13.5" thickBot="1">
      <c r="C7" s="127" t="s">
        <v>41</v>
      </c>
      <c r="D7" s="343" t="s">
        <v>202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/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A9" s="107"/>
      <c r="C9" s="133" t="s">
        <v>43</v>
      </c>
      <c r="D9" s="229" t="s">
        <v>75</v>
      </c>
      <c r="E9" s="427" t="s">
        <v>300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4688896</v>
      </c>
      <c r="E10" s="64" t="s">
        <v>46</v>
      </c>
      <c r="F10" s="137"/>
      <c r="G10" s="139"/>
      <c r="H10" s="139"/>
      <c r="I10" s="140">
        <f>+PSO.WS.F.BPU.ATRR.Projected!L19</f>
        <v>2020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2009</v>
      </c>
      <c r="E11" s="141" t="s">
        <v>49</v>
      </c>
      <c r="F11" s="139"/>
      <c r="G11" s="7"/>
      <c r="H11" s="7"/>
      <c r="I11" s="143"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5</v>
      </c>
      <c r="E12" s="141" t="s">
        <v>51</v>
      </c>
      <c r="F12" s="139"/>
      <c r="G12" s="7"/>
      <c r="H12" s="7"/>
      <c r="I12" s="145">
        <f>PSO.WS.F.BPU.ATRR.Projected!$F$81</f>
        <v>0.10800477690995318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42</v>
      </c>
      <c r="E13" s="141" t="s">
        <v>54</v>
      </c>
      <c r="F13" s="139"/>
      <c r="G13" s="7"/>
      <c r="H13" s="7"/>
      <c r="I13" s="145">
        <f>IF(G5="",I12,PSO.WS.F.BPU.ATRR.Projected!$F$80)</f>
        <v>0.10800477690995318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111640.38095238095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277</v>
      </c>
      <c r="H15" s="362" t="s">
        <v>278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C17" s="157">
        <f>IF(D11= "","-",D11)</f>
        <v>2009</v>
      </c>
      <c r="D17" s="366">
        <v>6704177</v>
      </c>
      <c r="E17" s="367">
        <v>73788</v>
      </c>
      <c r="F17" s="366">
        <v>6630389</v>
      </c>
      <c r="G17" s="367">
        <v>750999</v>
      </c>
      <c r="H17" s="367">
        <v>750999</v>
      </c>
      <c r="I17" s="160">
        <f t="shared" ref="I17:I48" si="0">H17-G17</f>
        <v>0</v>
      </c>
      <c r="J17" s="160"/>
      <c r="K17" s="338">
        <v>750999</v>
      </c>
      <c r="L17" s="161">
        <f t="shared" ref="L17:L48" si="1">IF(K17&lt;&gt;0,+G17-K17,0)</f>
        <v>0</v>
      </c>
      <c r="M17" s="338">
        <v>750999</v>
      </c>
      <c r="N17" s="161">
        <f t="shared" ref="N17:N48" si="2">IF(M17&lt;&gt;0,+H17-M17,0)</f>
        <v>0</v>
      </c>
      <c r="O17" s="162">
        <f t="shared" ref="O17:O48" si="3">+N17-L17</f>
        <v>0</v>
      </c>
      <c r="P17" s="4"/>
    </row>
    <row r="18" spans="2:16">
      <c r="B18" s="9" t="str">
        <f>IF(D18=F17,"","IU")</f>
        <v>IU</v>
      </c>
      <c r="C18" s="157">
        <f>IF(D11="","-",+C17+1)</f>
        <v>2010</v>
      </c>
      <c r="D18" s="371">
        <v>4651603</v>
      </c>
      <c r="E18" s="368">
        <v>84382</v>
      </c>
      <c r="F18" s="371">
        <v>4567221</v>
      </c>
      <c r="G18" s="368">
        <v>743416</v>
      </c>
      <c r="H18" s="370">
        <v>743416</v>
      </c>
      <c r="I18" s="160">
        <f t="shared" si="0"/>
        <v>0</v>
      </c>
      <c r="J18" s="160"/>
      <c r="K18" s="338">
        <f t="shared" ref="K18:K23" si="4">G18</f>
        <v>743416</v>
      </c>
      <c r="L18" s="272">
        <f t="shared" si="1"/>
        <v>0</v>
      </c>
      <c r="M18" s="338">
        <f t="shared" ref="M18:M23" si="5">H18</f>
        <v>743416</v>
      </c>
      <c r="N18" s="162">
        <f t="shared" si="2"/>
        <v>0</v>
      </c>
      <c r="O18" s="162">
        <f t="shared" si="3"/>
        <v>0</v>
      </c>
      <c r="P18" s="4"/>
    </row>
    <row r="19" spans="2:16">
      <c r="B19" s="9" t="str">
        <f>IF(D19=F18,"","IU")</f>
        <v>IU</v>
      </c>
      <c r="C19" s="157">
        <f>IF(D11="","-",+C18+1)</f>
        <v>2011</v>
      </c>
      <c r="D19" s="371">
        <v>4530726</v>
      </c>
      <c r="E19" s="368">
        <v>91939.137254901958</v>
      </c>
      <c r="F19" s="371">
        <v>4438786.8627450978</v>
      </c>
      <c r="G19" s="368">
        <v>786801.66702531651</v>
      </c>
      <c r="H19" s="370">
        <v>786801.66702531651</v>
      </c>
      <c r="I19" s="160">
        <f t="shared" si="0"/>
        <v>0</v>
      </c>
      <c r="J19" s="160"/>
      <c r="K19" s="338">
        <f t="shared" si="4"/>
        <v>786801.66702531651</v>
      </c>
      <c r="L19" s="272">
        <f t="shared" si="1"/>
        <v>0</v>
      </c>
      <c r="M19" s="338">
        <f t="shared" si="5"/>
        <v>786801.66702531651</v>
      </c>
      <c r="N19" s="162">
        <f t="shared" si="2"/>
        <v>0</v>
      </c>
      <c r="O19" s="162">
        <f t="shared" si="3"/>
        <v>0</v>
      </c>
      <c r="P19" s="4"/>
    </row>
    <row r="20" spans="2:16">
      <c r="B20" s="9" t="str">
        <f t="shared" ref="B20:B72" si="6">IF(D20=F19,"","IU")</f>
        <v/>
      </c>
      <c r="C20" s="157">
        <f>IF(D11="","-",+C19+1)</f>
        <v>2012</v>
      </c>
      <c r="D20" s="371">
        <v>4438786.8627450978</v>
      </c>
      <c r="E20" s="368">
        <v>90171.076923076922</v>
      </c>
      <c r="F20" s="371">
        <v>4348615.7858220208</v>
      </c>
      <c r="G20" s="368">
        <v>695527.67751323315</v>
      </c>
      <c r="H20" s="370">
        <v>695527.67751323315</v>
      </c>
      <c r="I20" s="160">
        <f t="shared" si="0"/>
        <v>0</v>
      </c>
      <c r="J20" s="160"/>
      <c r="K20" s="338">
        <f t="shared" si="4"/>
        <v>695527.67751323315</v>
      </c>
      <c r="L20" s="272">
        <f t="shared" si="1"/>
        <v>0</v>
      </c>
      <c r="M20" s="338">
        <f t="shared" si="5"/>
        <v>695527.67751323315</v>
      </c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6"/>
        <v/>
      </c>
      <c r="C21" s="157">
        <f>IF(D12="","-",+C20+1)</f>
        <v>2013</v>
      </c>
      <c r="D21" s="371">
        <v>4348615.7858220208</v>
      </c>
      <c r="E21" s="368">
        <v>90171.076923076922</v>
      </c>
      <c r="F21" s="371">
        <v>4258444.7088989438</v>
      </c>
      <c r="G21" s="368">
        <v>698305.7699783385</v>
      </c>
      <c r="H21" s="370">
        <v>698305.7699783385</v>
      </c>
      <c r="I21" s="160">
        <v>0</v>
      </c>
      <c r="J21" s="160"/>
      <c r="K21" s="338">
        <f t="shared" si="4"/>
        <v>698305.7699783385</v>
      </c>
      <c r="L21" s="272">
        <f t="shared" ref="L21:L26" si="7">IF(K21&lt;&gt;0,+G21-K21,0)</f>
        <v>0</v>
      </c>
      <c r="M21" s="338">
        <f t="shared" si="5"/>
        <v>698305.7699783385</v>
      </c>
      <c r="N21" s="162">
        <f t="shared" ref="N21:N26" si="8">IF(M21&lt;&gt;0,+H21-M21,0)</f>
        <v>0</v>
      </c>
      <c r="O21" s="162">
        <f t="shared" ref="O21:O26" si="9">+N21-L21</f>
        <v>0</v>
      </c>
      <c r="P21" s="4"/>
    </row>
    <row r="22" spans="2:16">
      <c r="B22" s="9" t="str">
        <f t="shared" si="6"/>
        <v/>
      </c>
      <c r="C22" s="157">
        <f>IF(D11="","-",+C21+1)</f>
        <v>2014</v>
      </c>
      <c r="D22" s="371">
        <v>4258444.7088989438</v>
      </c>
      <c r="E22" s="368">
        <v>90171.076923076922</v>
      </c>
      <c r="F22" s="371">
        <v>4168273.6319758669</v>
      </c>
      <c r="G22" s="368">
        <v>663970.48849892756</v>
      </c>
      <c r="H22" s="370">
        <v>663970.48849892756</v>
      </c>
      <c r="I22" s="160">
        <v>0</v>
      </c>
      <c r="J22" s="160"/>
      <c r="K22" s="338">
        <f t="shared" si="4"/>
        <v>663970.48849892756</v>
      </c>
      <c r="L22" s="272">
        <f t="shared" si="7"/>
        <v>0</v>
      </c>
      <c r="M22" s="338">
        <f t="shared" si="5"/>
        <v>663970.48849892756</v>
      </c>
      <c r="N22" s="162">
        <f t="shared" si="8"/>
        <v>0</v>
      </c>
      <c r="O22" s="162">
        <f t="shared" si="9"/>
        <v>0</v>
      </c>
      <c r="P22" s="4"/>
    </row>
    <row r="23" spans="2:16">
      <c r="B23" s="9" t="str">
        <f t="shared" si="6"/>
        <v/>
      </c>
      <c r="C23" s="157">
        <f>IF(D11="","-",+C22+1)</f>
        <v>2015</v>
      </c>
      <c r="D23" s="371">
        <v>4168273.6319758669</v>
      </c>
      <c r="E23" s="368">
        <v>90171.076923076922</v>
      </c>
      <c r="F23" s="371">
        <v>4078102.5550527899</v>
      </c>
      <c r="G23" s="368">
        <v>652425.83265151177</v>
      </c>
      <c r="H23" s="370">
        <v>652425.83265151177</v>
      </c>
      <c r="I23" s="160">
        <v>0</v>
      </c>
      <c r="J23" s="160"/>
      <c r="K23" s="338">
        <f t="shared" si="4"/>
        <v>652425.83265151177</v>
      </c>
      <c r="L23" s="272">
        <f t="shared" si="7"/>
        <v>0</v>
      </c>
      <c r="M23" s="338">
        <f t="shared" si="5"/>
        <v>652425.83265151177</v>
      </c>
      <c r="N23" s="162">
        <f t="shared" si="8"/>
        <v>0</v>
      </c>
      <c r="O23" s="162">
        <f t="shared" si="9"/>
        <v>0</v>
      </c>
      <c r="P23" s="4"/>
    </row>
    <row r="24" spans="2:16">
      <c r="B24" s="9" t="str">
        <f t="shared" si="6"/>
        <v/>
      </c>
      <c r="C24" s="157">
        <f>IF(D11="","-",+C23+1)</f>
        <v>2016</v>
      </c>
      <c r="D24" s="371">
        <v>4078102.5550527899</v>
      </c>
      <c r="E24" s="368">
        <v>90171.076923076922</v>
      </c>
      <c r="F24" s="371">
        <v>3987931.4781297129</v>
      </c>
      <c r="G24" s="368">
        <v>613226.71011811122</v>
      </c>
      <c r="H24" s="370">
        <v>613226.71011811122</v>
      </c>
      <c r="I24" s="160">
        <f t="shared" si="0"/>
        <v>0</v>
      </c>
      <c r="J24" s="160"/>
      <c r="K24" s="338">
        <f>G24</f>
        <v>613226.71011811122</v>
      </c>
      <c r="L24" s="272">
        <f t="shared" si="7"/>
        <v>0</v>
      </c>
      <c r="M24" s="338">
        <f>H24</f>
        <v>613226.71011811122</v>
      </c>
      <c r="N24" s="162">
        <f t="shared" si="8"/>
        <v>0</v>
      </c>
      <c r="O24" s="162">
        <f t="shared" si="9"/>
        <v>0</v>
      </c>
      <c r="P24" s="4"/>
    </row>
    <row r="25" spans="2:16">
      <c r="B25" s="9" t="str">
        <f t="shared" si="6"/>
        <v/>
      </c>
      <c r="C25" s="157">
        <f>IF(D11="","-",+C24+1)</f>
        <v>2017</v>
      </c>
      <c r="D25" s="371">
        <v>3987931.4781297129</v>
      </c>
      <c r="E25" s="368">
        <v>101932.52173913043</v>
      </c>
      <c r="F25" s="371">
        <v>3885998.9563905825</v>
      </c>
      <c r="G25" s="368">
        <v>596467.29312714399</v>
      </c>
      <c r="H25" s="370">
        <v>596467.29312714399</v>
      </c>
      <c r="I25" s="160">
        <v>0</v>
      </c>
      <c r="J25" s="378"/>
      <c r="K25" s="338">
        <f>G25</f>
        <v>596467.29312714399</v>
      </c>
      <c r="L25" s="272">
        <f t="shared" si="7"/>
        <v>0</v>
      </c>
      <c r="M25" s="338">
        <f>H25</f>
        <v>596467.29312714399</v>
      </c>
      <c r="N25" s="162">
        <f t="shared" si="8"/>
        <v>0</v>
      </c>
      <c r="O25" s="162">
        <f t="shared" si="9"/>
        <v>0</v>
      </c>
      <c r="P25" s="4"/>
    </row>
    <row r="26" spans="2:16">
      <c r="B26" s="9" t="str">
        <f t="shared" si="6"/>
        <v/>
      </c>
      <c r="C26" s="157">
        <f>IF(D11="","-",+C25+1)</f>
        <v>2018</v>
      </c>
      <c r="D26" s="371">
        <v>3885998.9563905825</v>
      </c>
      <c r="E26" s="368">
        <v>104197.68888888889</v>
      </c>
      <c r="F26" s="371">
        <v>3781801.2675016937</v>
      </c>
      <c r="G26" s="368">
        <v>616009.3144662733</v>
      </c>
      <c r="H26" s="370">
        <v>616009.3144662733</v>
      </c>
      <c r="I26" s="160">
        <f t="shared" si="0"/>
        <v>0</v>
      </c>
      <c r="J26" s="378"/>
      <c r="K26" s="338">
        <f>G26</f>
        <v>616009.3144662733</v>
      </c>
      <c r="L26" s="272">
        <f t="shared" si="7"/>
        <v>0</v>
      </c>
      <c r="M26" s="338">
        <f>H26</f>
        <v>616009.3144662733</v>
      </c>
      <c r="N26" s="162">
        <f t="shared" si="8"/>
        <v>0</v>
      </c>
      <c r="O26" s="162">
        <f t="shared" si="9"/>
        <v>0</v>
      </c>
      <c r="P26" s="4"/>
    </row>
    <row r="27" spans="2:16">
      <c r="B27" s="9" t="str">
        <f t="shared" si="6"/>
        <v/>
      </c>
      <c r="C27" s="157">
        <f>IF(D11="","-",+C26+1)</f>
        <v>2019</v>
      </c>
      <c r="D27" s="371">
        <v>3781801.2675016937</v>
      </c>
      <c r="E27" s="368">
        <v>104197.68888888889</v>
      </c>
      <c r="F27" s="371">
        <v>3677603.5786128049</v>
      </c>
      <c r="G27" s="368">
        <v>601907.67750562495</v>
      </c>
      <c r="H27" s="370">
        <v>601907.67750562495</v>
      </c>
      <c r="I27" s="160">
        <f t="shared" si="0"/>
        <v>0</v>
      </c>
      <c r="J27" s="379"/>
      <c r="K27" s="338">
        <f>G27</f>
        <v>601907.67750562495</v>
      </c>
      <c r="L27" s="272">
        <f t="shared" ref="L27" si="10">IF(K27&lt;&gt;0,+G27-K27,0)</f>
        <v>0</v>
      </c>
      <c r="M27" s="338">
        <f>H27</f>
        <v>601907.67750562495</v>
      </c>
      <c r="N27" s="162">
        <f t="shared" ref="N27" si="11">IF(M27&lt;&gt;0,+H27-M27,0)</f>
        <v>0</v>
      </c>
      <c r="O27" s="162">
        <f t="shared" ref="O27" si="12">+N27-L27</f>
        <v>0</v>
      </c>
      <c r="P27" s="4"/>
    </row>
    <row r="28" spans="2:16">
      <c r="B28" s="9" t="str">
        <f t="shared" si="6"/>
        <v/>
      </c>
      <c r="C28" s="157">
        <f>IF(D11="","-",+C27+1)</f>
        <v>2020</v>
      </c>
      <c r="D28" s="163">
        <f>IF(F27+SUM(E$17:E27)=D$10,F27,D$10-SUM(E$17:E27))</f>
        <v>3677603.5786128049</v>
      </c>
      <c r="E28" s="164">
        <f>IF(+I14&lt;F27,I14,D28)</f>
        <v>111640.38095238095</v>
      </c>
      <c r="F28" s="163">
        <f t="shared" ref="F28:F48" si="13">+D28-E28</f>
        <v>3565963.1976604238</v>
      </c>
      <c r="G28" s="165">
        <f t="shared" ref="G28:G72" si="14">(D28+F28)/2*I$12+E28</f>
        <v>502810.28780425031</v>
      </c>
      <c r="H28" s="147">
        <f t="shared" ref="H28:H72" si="15">+(D28+F28)/2*I$13+E28</f>
        <v>502810.28780425031</v>
      </c>
      <c r="I28" s="160">
        <f t="shared" si="0"/>
        <v>0</v>
      </c>
      <c r="J28" s="160"/>
      <c r="K28" s="335"/>
      <c r="L28" s="162">
        <f t="shared" si="1"/>
        <v>0</v>
      </c>
      <c r="M28" s="335"/>
      <c r="N28" s="162">
        <f t="shared" si="2"/>
        <v>0</v>
      </c>
      <c r="O28" s="162">
        <f t="shared" si="3"/>
        <v>0</v>
      </c>
      <c r="P28" s="4"/>
    </row>
    <row r="29" spans="2:16">
      <c r="B29" s="9" t="str">
        <f t="shared" si="6"/>
        <v/>
      </c>
      <c r="C29" s="157">
        <f>IF(D11="","-",+C28+1)</f>
        <v>2021</v>
      </c>
      <c r="D29" s="163">
        <f>IF(F28+SUM(E$17:E28)=D$10,F28,D$10-SUM(E$17:E28))</f>
        <v>3565963.1976604238</v>
      </c>
      <c r="E29" s="164">
        <f>IF(+I14&lt;F28,I14,D29)</f>
        <v>111640.38095238095</v>
      </c>
      <c r="F29" s="163">
        <f t="shared" si="13"/>
        <v>3454322.8167080428</v>
      </c>
      <c r="G29" s="165">
        <f t="shared" si="14"/>
        <v>490752.59336534626</v>
      </c>
      <c r="H29" s="147">
        <f t="shared" si="15"/>
        <v>490752.59336534626</v>
      </c>
      <c r="I29" s="160">
        <f t="shared" si="0"/>
        <v>0</v>
      </c>
      <c r="J29" s="160"/>
      <c r="K29" s="335"/>
      <c r="L29" s="162">
        <f t="shared" si="1"/>
        <v>0</v>
      </c>
      <c r="M29" s="335"/>
      <c r="N29" s="162">
        <f t="shared" si="2"/>
        <v>0</v>
      </c>
      <c r="O29" s="162">
        <f t="shared" si="3"/>
        <v>0</v>
      </c>
      <c r="P29" s="4"/>
    </row>
    <row r="30" spans="2:16">
      <c r="B30" s="9" t="str">
        <f t="shared" si="6"/>
        <v/>
      </c>
      <c r="C30" s="157">
        <f>IF(D11="","-",+C29+1)</f>
        <v>2022</v>
      </c>
      <c r="D30" s="163">
        <f>IF(F29+SUM(E$17:E29)=D$10,F29,D$10-SUM(E$17:E29))</f>
        <v>3454322.8167080428</v>
      </c>
      <c r="E30" s="164">
        <f>IF(+I14&lt;F29,I14,D30)</f>
        <v>111640.38095238095</v>
      </c>
      <c r="F30" s="163">
        <f t="shared" si="13"/>
        <v>3342682.4357556617</v>
      </c>
      <c r="G30" s="165">
        <f t="shared" si="14"/>
        <v>478694.89892644214</v>
      </c>
      <c r="H30" s="147">
        <f t="shared" si="15"/>
        <v>478694.89892644214</v>
      </c>
      <c r="I30" s="160">
        <f t="shared" si="0"/>
        <v>0</v>
      </c>
      <c r="J30" s="160"/>
      <c r="K30" s="335"/>
      <c r="L30" s="162">
        <f t="shared" si="1"/>
        <v>0</v>
      </c>
      <c r="M30" s="335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6"/>
        <v/>
      </c>
      <c r="C31" s="157">
        <f>IF(D11="","-",+C30+1)</f>
        <v>2023</v>
      </c>
      <c r="D31" s="163">
        <f>IF(F30+SUM(E$17:E30)=D$10,F30,D$10-SUM(E$17:E30))</f>
        <v>3342682.4357556617</v>
      </c>
      <c r="E31" s="164">
        <f>IF(+I14&lt;F30,I14,D31)</f>
        <v>111640.38095238095</v>
      </c>
      <c r="F31" s="163">
        <f t="shared" si="13"/>
        <v>3231042.0548032806</v>
      </c>
      <c r="G31" s="165">
        <f t="shared" si="14"/>
        <v>466637.20448753808</v>
      </c>
      <c r="H31" s="147">
        <f t="shared" si="15"/>
        <v>466637.20448753808</v>
      </c>
      <c r="I31" s="160">
        <f t="shared" si="0"/>
        <v>0</v>
      </c>
      <c r="J31" s="160"/>
      <c r="K31" s="335"/>
      <c r="L31" s="162">
        <f t="shared" si="1"/>
        <v>0</v>
      </c>
      <c r="M31" s="335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6"/>
        <v/>
      </c>
      <c r="C32" s="157">
        <f>IF(D11="","-",+C31+1)</f>
        <v>2024</v>
      </c>
      <c r="D32" s="163">
        <f>IF(F31+SUM(E$17:E31)=D$10,F31,D$10-SUM(E$17:E31))</f>
        <v>3231042.0548032806</v>
      </c>
      <c r="E32" s="164">
        <f>IF(+I14&lt;F31,I14,D32)</f>
        <v>111640.38095238095</v>
      </c>
      <c r="F32" s="163">
        <f t="shared" si="13"/>
        <v>3119401.6738508996</v>
      </c>
      <c r="G32" s="165">
        <f t="shared" si="14"/>
        <v>454579.51004863391</v>
      </c>
      <c r="H32" s="147">
        <f t="shared" si="15"/>
        <v>454579.51004863391</v>
      </c>
      <c r="I32" s="160">
        <f t="shared" si="0"/>
        <v>0</v>
      </c>
      <c r="J32" s="160"/>
      <c r="K32" s="335"/>
      <c r="L32" s="162">
        <f t="shared" si="1"/>
        <v>0</v>
      </c>
      <c r="M32" s="335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6"/>
        <v/>
      </c>
      <c r="C33" s="157">
        <f>IF(D11="","-",+C32+1)</f>
        <v>2025</v>
      </c>
      <c r="D33" s="163">
        <f>IF(F32+SUM(E$17:E32)=D$10,F32,D$10-SUM(E$17:E32))</f>
        <v>3119401.6738508996</v>
      </c>
      <c r="E33" s="164">
        <f>IF(+I14&lt;F32,I14,D33)</f>
        <v>111640.38095238095</v>
      </c>
      <c r="F33" s="163">
        <f t="shared" si="13"/>
        <v>3007761.2928985185</v>
      </c>
      <c r="G33" s="165">
        <f t="shared" si="14"/>
        <v>442521.81560972985</v>
      </c>
      <c r="H33" s="147">
        <f t="shared" si="15"/>
        <v>442521.81560972985</v>
      </c>
      <c r="I33" s="160">
        <f t="shared" si="0"/>
        <v>0</v>
      </c>
      <c r="J33" s="160"/>
      <c r="K33" s="335"/>
      <c r="L33" s="162">
        <f t="shared" si="1"/>
        <v>0</v>
      </c>
      <c r="M33" s="335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6"/>
        <v/>
      </c>
      <c r="C34" s="157">
        <f>IF(D11="","-",+C33+1)</f>
        <v>2026</v>
      </c>
      <c r="D34" s="163">
        <f>IF(F33+SUM(E$17:E33)=D$10,F33,D$10-SUM(E$17:E33))</f>
        <v>3007761.2928985185</v>
      </c>
      <c r="E34" s="164">
        <f>IF(+I14&lt;F33,I14,D34)</f>
        <v>111640.38095238095</v>
      </c>
      <c r="F34" s="163">
        <f t="shared" si="13"/>
        <v>2896120.9119461374</v>
      </c>
      <c r="G34" s="165">
        <f t="shared" si="14"/>
        <v>430464.12117082567</v>
      </c>
      <c r="H34" s="147">
        <f t="shared" si="15"/>
        <v>430464.12117082567</v>
      </c>
      <c r="I34" s="160">
        <f t="shared" si="0"/>
        <v>0</v>
      </c>
      <c r="J34" s="160"/>
      <c r="K34" s="335"/>
      <c r="L34" s="162">
        <f t="shared" si="1"/>
        <v>0</v>
      </c>
      <c r="M34" s="335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6"/>
        <v/>
      </c>
      <c r="C35" s="157">
        <f>IF(D11="","-",+C34+1)</f>
        <v>2027</v>
      </c>
      <c r="D35" s="163">
        <f>IF(F34+SUM(E$17:E34)=D$10,F34,D$10-SUM(E$17:E34))</f>
        <v>2896120.9119461374</v>
      </c>
      <c r="E35" s="164">
        <f>IF(+I14&lt;F34,I14,D35)</f>
        <v>111640.38095238095</v>
      </c>
      <c r="F35" s="163">
        <f t="shared" si="13"/>
        <v>2784480.5309937564</v>
      </c>
      <c r="G35" s="165">
        <f t="shared" si="14"/>
        <v>418406.42673192167</v>
      </c>
      <c r="H35" s="147">
        <f t="shared" si="15"/>
        <v>418406.42673192167</v>
      </c>
      <c r="I35" s="160">
        <f t="shared" si="0"/>
        <v>0</v>
      </c>
      <c r="J35" s="160"/>
      <c r="K35" s="335"/>
      <c r="L35" s="162">
        <f t="shared" si="1"/>
        <v>0</v>
      </c>
      <c r="M35" s="335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6"/>
        <v/>
      </c>
      <c r="C36" s="157">
        <f>IF(D11="","-",+C35+1)</f>
        <v>2028</v>
      </c>
      <c r="D36" s="163">
        <f>IF(F35+SUM(E$17:E35)=D$10,F35,D$10-SUM(E$17:E35))</f>
        <v>2784480.5309937564</v>
      </c>
      <c r="E36" s="164">
        <f>IF(+I14&lt;F35,I14,D36)</f>
        <v>111640.38095238095</v>
      </c>
      <c r="F36" s="163">
        <f t="shared" si="13"/>
        <v>2672840.1500413753</v>
      </c>
      <c r="G36" s="165">
        <f t="shared" si="14"/>
        <v>406348.7322930175</v>
      </c>
      <c r="H36" s="147">
        <f t="shared" si="15"/>
        <v>406348.7322930175</v>
      </c>
      <c r="I36" s="160">
        <f t="shared" si="0"/>
        <v>0</v>
      </c>
      <c r="J36" s="160"/>
      <c r="K36" s="335"/>
      <c r="L36" s="162">
        <f t="shared" si="1"/>
        <v>0</v>
      </c>
      <c r="M36" s="335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6"/>
        <v/>
      </c>
      <c r="C37" s="157">
        <f>IF(D11="","-",+C36+1)</f>
        <v>2029</v>
      </c>
      <c r="D37" s="163">
        <f>IF(F36+SUM(E$17:E36)=D$10,F36,D$10-SUM(E$17:E36))</f>
        <v>2672840.1500413753</v>
      </c>
      <c r="E37" s="164">
        <f>IF(+I14&lt;F36,I14,D37)</f>
        <v>111640.38095238095</v>
      </c>
      <c r="F37" s="163">
        <f t="shared" si="13"/>
        <v>2561199.7690889942</v>
      </c>
      <c r="G37" s="165">
        <f t="shared" si="14"/>
        <v>394291.03785411344</v>
      </c>
      <c r="H37" s="147">
        <f t="shared" si="15"/>
        <v>394291.03785411344</v>
      </c>
      <c r="I37" s="160">
        <f t="shared" si="0"/>
        <v>0</v>
      </c>
      <c r="J37" s="160"/>
      <c r="K37" s="335"/>
      <c r="L37" s="162">
        <f t="shared" si="1"/>
        <v>0</v>
      </c>
      <c r="M37" s="335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6"/>
        <v/>
      </c>
      <c r="C38" s="157">
        <f>IF(D11="","-",+C37+1)</f>
        <v>2030</v>
      </c>
      <c r="D38" s="163">
        <f>IF(F37+SUM(E$17:E37)=D$10,F37,D$10-SUM(E$17:E37))</f>
        <v>2561199.7690889942</v>
      </c>
      <c r="E38" s="164">
        <f>IF(+I14&lt;F37,I14,D38)</f>
        <v>111640.38095238095</v>
      </c>
      <c r="F38" s="163">
        <f t="shared" si="13"/>
        <v>2449559.3881366132</v>
      </c>
      <c r="G38" s="165">
        <f t="shared" si="14"/>
        <v>382233.34341520927</v>
      </c>
      <c r="H38" s="147">
        <f t="shared" si="15"/>
        <v>382233.34341520927</v>
      </c>
      <c r="I38" s="160">
        <f t="shared" si="0"/>
        <v>0</v>
      </c>
      <c r="J38" s="160"/>
      <c r="K38" s="335"/>
      <c r="L38" s="162">
        <f t="shared" si="1"/>
        <v>0</v>
      </c>
      <c r="M38" s="335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6"/>
        <v/>
      </c>
      <c r="C39" s="157">
        <f>IF(D11="","-",+C38+1)</f>
        <v>2031</v>
      </c>
      <c r="D39" s="163">
        <f>IF(F38+SUM(E$17:E38)=D$10,F38,D$10-SUM(E$17:E38))</f>
        <v>2449559.3881366132</v>
      </c>
      <c r="E39" s="164">
        <f>IF(+I14&lt;F38,I14,D39)</f>
        <v>111640.38095238095</v>
      </c>
      <c r="F39" s="163">
        <f t="shared" si="13"/>
        <v>2337919.0071842321</v>
      </c>
      <c r="G39" s="165">
        <f t="shared" si="14"/>
        <v>370175.64897630527</v>
      </c>
      <c r="H39" s="147">
        <f t="shared" si="15"/>
        <v>370175.64897630527</v>
      </c>
      <c r="I39" s="160">
        <f t="shared" si="0"/>
        <v>0</v>
      </c>
      <c r="J39" s="160"/>
      <c r="K39" s="335"/>
      <c r="L39" s="162">
        <f t="shared" si="1"/>
        <v>0</v>
      </c>
      <c r="M39" s="335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6"/>
        <v/>
      </c>
      <c r="C40" s="157">
        <f>IF(D11="","-",+C39+1)</f>
        <v>2032</v>
      </c>
      <c r="D40" s="163">
        <f>IF(F39+SUM(E$17:E39)=D$10,F39,D$10-SUM(E$17:E39))</f>
        <v>2337919.0071842321</v>
      </c>
      <c r="E40" s="164">
        <f>IF(+I14&lt;F39,I14,D40)</f>
        <v>111640.38095238095</v>
      </c>
      <c r="F40" s="163">
        <f t="shared" si="13"/>
        <v>2226278.6262318511</v>
      </c>
      <c r="G40" s="165">
        <f t="shared" si="14"/>
        <v>358117.95453740109</v>
      </c>
      <c r="H40" s="147">
        <f t="shared" si="15"/>
        <v>358117.95453740109</v>
      </c>
      <c r="I40" s="160">
        <f t="shared" si="0"/>
        <v>0</v>
      </c>
      <c r="J40" s="160"/>
      <c r="K40" s="335"/>
      <c r="L40" s="162">
        <f t="shared" si="1"/>
        <v>0</v>
      </c>
      <c r="M40" s="335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6"/>
        <v/>
      </c>
      <c r="C41" s="157">
        <f>IF(D11="","-",+C40+1)</f>
        <v>2033</v>
      </c>
      <c r="D41" s="163">
        <f>IF(F40+SUM(E$17:E40)=D$10,F40,D$10-SUM(E$17:E40))</f>
        <v>2226278.6262318511</v>
      </c>
      <c r="E41" s="164">
        <f>IF(+I14&lt;F40,I14,D41)</f>
        <v>111640.38095238095</v>
      </c>
      <c r="F41" s="163">
        <f t="shared" si="13"/>
        <v>2114638.24527947</v>
      </c>
      <c r="G41" s="165">
        <f t="shared" si="14"/>
        <v>346060.26009849703</v>
      </c>
      <c r="H41" s="147">
        <f t="shared" si="15"/>
        <v>346060.26009849703</v>
      </c>
      <c r="I41" s="160">
        <f t="shared" si="0"/>
        <v>0</v>
      </c>
      <c r="J41" s="160"/>
      <c r="K41" s="335"/>
      <c r="L41" s="162">
        <f t="shared" si="1"/>
        <v>0</v>
      </c>
      <c r="M41" s="335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6"/>
        <v/>
      </c>
      <c r="C42" s="157">
        <f>IF(D11="","-",+C41+1)</f>
        <v>2034</v>
      </c>
      <c r="D42" s="163">
        <f>IF(F41+SUM(E$17:E41)=D$10,F41,D$10-SUM(E$17:E41))</f>
        <v>2114638.24527947</v>
      </c>
      <c r="E42" s="164">
        <f>IF(+I14&lt;F41,I14,D42)</f>
        <v>111640.38095238095</v>
      </c>
      <c r="F42" s="163">
        <f t="shared" si="13"/>
        <v>2002997.8643270889</v>
      </c>
      <c r="G42" s="165">
        <f t="shared" si="14"/>
        <v>334002.56565959292</v>
      </c>
      <c r="H42" s="147">
        <f t="shared" si="15"/>
        <v>334002.56565959292</v>
      </c>
      <c r="I42" s="160">
        <f t="shared" si="0"/>
        <v>0</v>
      </c>
      <c r="J42" s="160"/>
      <c r="K42" s="335"/>
      <c r="L42" s="162">
        <f t="shared" si="1"/>
        <v>0</v>
      </c>
      <c r="M42" s="335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6"/>
        <v/>
      </c>
      <c r="C43" s="157">
        <f>IF(D11="","-",+C42+1)</f>
        <v>2035</v>
      </c>
      <c r="D43" s="163">
        <f>IF(F42+SUM(E$17:E42)=D$10,F42,D$10-SUM(E$17:E42))</f>
        <v>2002997.8643270889</v>
      </c>
      <c r="E43" s="164">
        <f>IF(+I14&lt;F42,I14,D43)</f>
        <v>111640.38095238095</v>
      </c>
      <c r="F43" s="163">
        <f t="shared" si="13"/>
        <v>1891357.4833747079</v>
      </c>
      <c r="G43" s="165">
        <f t="shared" si="14"/>
        <v>321944.8712206888</v>
      </c>
      <c r="H43" s="147">
        <f t="shared" si="15"/>
        <v>321944.8712206888</v>
      </c>
      <c r="I43" s="160">
        <f t="shared" si="0"/>
        <v>0</v>
      </c>
      <c r="J43" s="160"/>
      <c r="K43" s="335"/>
      <c r="L43" s="162">
        <f t="shared" si="1"/>
        <v>0</v>
      </c>
      <c r="M43" s="335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6"/>
        <v/>
      </c>
      <c r="C44" s="157">
        <f>IF(D11="","-",+C43+1)</f>
        <v>2036</v>
      </c>
      <c r="D44" s="163">
        <f>IF(F43+SUM(E$17:E43)=D$10,F43,D$10-SUM(E$17:E43))</f>
        <v>1891357.4833747079</v>
      </c>
      <c r="E44" s="164">
        <f>IF(+I14&lt;F43,I14,D44)</f>
        <v>111640.38095238095</v>
      </c>
      <c r="F44" s="163">
        <f t="shared" si="13"/>
        <v>1779717.1024223268</v>
      </c>
      <c r="G44" s="165">
        <f t="shared" si="14"/>
        <v>309887.17678178468</v>
      </c>
      <c r="H44" s="147">
        <f t="shared" si="15"/>
        <v>309887.17678178468</v>
      </c>
      <c r="I44" s="160">
        <f t="shared" si="0"/>
        <v>0</v>
      </c>
      <c r="J44" s="160"/>
      <c r="K44" s="335"/>
      <c r="L44" s="162">
        <f t="shared" si="1"/>
        <v>0</v>
      </c>
      <c r="M44" s="335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6"/>
        <v/>
      </c>
      <c r="C45" s="157">
        <f>IF(D11="","-",+C44+1)</f>
        <v>2037</v>
      </c>
      <c r="D45" s="163">
        <f>IF(F44+SUM(E$17:E44)=D$10,F44,D$10-SUM(E$17:E44))</f>
        <v>1779717.1024223268</v>
      </c>
      <c r="E45" s="164">
        <f>IF(+I14&lt;F44,I14,D45)</f>
        <v>111640.38095238095</v>
      </c>
      <c r="F45" s="163">
        <f t="shared" si="13"/>
        <v>1668076.7214699457</v>
      </c>
      <c r="G45" s="165">
        <f t="shared" si="14"/>
        <v>297829.48234288057</v>
      </c>
      <c r="H45" s="147">
        <f t="shared" si="15"/>
        <v>297829.48234288057</v>
      </c>
      <c r="I45" s="160">
        <f t="shared" si="0"/>
        <v>0</v>
      </c>
      <c r="J45" s="160"/>
      <c r="K45" s="335"/>
      <c r="L45" s="162">
        <f t="shared" si="1"/>
        <v>0</v>
      </c>
      <c r="M45" s="335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6"/>
        <v/>
      </c>
      <c r="C46" s="157">
        <f>IF(D11="","-",+C45+1)</f>
        <v>2038</v>
      </c>
      <c r="D46" s="163">
        <f>IF(F45+SUM(E$17:E45)=D$10,F45,D$10-SUM(E$17:E45))</f>
        <v>1668076.7214699457</v>
      </c>
      <c r="E46" s="164">
        <f>IF(+I14&lt;F45,I14,D46)</f>
        <v>111640.38095238095</v>
      </c>
      <c r="F46" s="163">
        <f t="shared" si="13"/>
        <v>1556436.3405175647</v>
      </c>
      <c r="G46" s="165">
        <f t="shared" si="14"/>
        <v>285771.78790397651</v>
      </c>
      <c r="H46" s="147">
        <f t="shared" si="15"/>
        <v>285771.78790397651</v>
      </c>
      <c r="I46" s="160">
        <f t="shared" si="0"/>
        <v>0</v>
      </c>
      <c r="J46" s="160"/>
      <c r="K46" s="335"/>
      <c r="L46" s="162">
        <f t="shared" si="1"/>
        <v>0</v>
      </c>
      <c r="M46" s="335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6"/>
        <v/>
      </c>
      <c r="C47" s="157">
        <f>IF(D11="","-",+C46+1)</f>
        <v>2039</v>
      </c>
      <c r="D47" s="163">
        <f>IF(F46+SUM(E$17:E46)=D$10,F46,D$10-SUM(E$17:E46))</f>
        <v>1556436.3405175647</v>
      </c>
      <c r="E47" s="164">
        <f>IF(+I14&lt;F46,I14,D47)</f>
        <v>111640.38095238095</v>
      </c>
      <c r="F47" s="163">
        <f t="shared" si="13"/>
        <v>1444795.9595651836</v>
      </c>
      <c r="G47" s="165">
        <f t="shared" si="14"/>
        <v>273714.09346507239</v>
      </c>
      <c r="H47" s="147">
        <f t="shared" si="15"/>
        <v>273714.09346507239</v>
      </c>
      <c r="I47" s="160">
        <f t="shared" si="0"/>
        <v>0</v>
      </c>
      <c r="J47" s="160"/>
      <c r="K47" s="335"/>
      <c r="L47" s="162">
        <f t="shared" si="1"/>
        <v>0</v>
      </c>
      <c r="M47" s="335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6"/>
        <v/>
      </c>
      <c r="C48" s="157">
        <f>IF(D11="","-",+C47+1)</f>
        <v>2040</v>
      </c>
      <c r="D48" s="163">
        <f>IF(F47+SUM(E$17:E47)=D$10,F47,D$10-SUM(E$17:E47))</f>
        <v>1444795.9595651836</v>
      </c>
      <c r="E48" s="164">
        <f>IF(+I14&lt;F47,I14,D48)</f>
        <v>111640.38095238095</v>
      </c>
      <c r="F48" s="163">
        <f t="shared" si="13"/>
        <v>1333155.5786128026</v>
      </c>
      <c r="G48" s="165">
        <f t="shared" si="14"/>
        <v>261656.39902616828</v>
      </c>
      <c r="H48" s="147">
        <f t="shared" si="15"/>
        <v>261656.39902616828</v>
      </c>
      <c r="I48" s="160">
        <f t="shared" si="0"/>
        <v>0</v>
      </c>
      <c r="J48" s="160"/>
      <c r="K48" s="335"/>
      <c r="L48" s="162">
        <f t="shared" si="1"/>
        <v>0</v>
      </c>
      <c r="M48" s="335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6"/>
        <v/>
      </c>
      <c r="C49" s="157">
        <f>IF(D11="","-",+C48+1)</f>
        <v>2041</v>
      </c>
      <c r="D49" s="163">
        <f>IF(F48+SUM(E$17:E48)=D$10,F48,D$10-SUM(E$17:E48))</f>
        <v>1333155.5786128026</v>
      </c>
      <c r="E49" s="164">
        <f>IF(+I14&lt;F48,I14,D49)</f>
        <v>111640.38095238095</v>
      </c>
      <c r="F49" s="163">
        <f t="shared" ref="F49:F72" si="16">+D49-E49</f>
        <v>1221515.1976604215</v>
      </c>
      <c r="G49" s="165">
        <f t="shared" si="14"/>
        <v>249598.70458726419</v>
      </c>
      <c r="H49" s="147">
        <f t="shared" si="15"/>
        <v>249598.70458726419</v>
      </c>
      <c r="I49" s="160">
        <f t="shared" ref="I49:I72" si="17">H49-G49</f>
        <v>0</v>
      </c>
      <c r="J49" s="160"/>
      <c r="K49" s="335"/>
      <c r="L49" s="162">
        <f t="shared" ref="L49:L72" si="18">IF(K49&lt;&gt;0,+G49-K49,0)</f>
        <v>0</v>
      </c>
      <c r="M49" s="335"/>
      <c r="N49" s="162">
        <f t="shared" ref="N49:N72" si="19">IF(M49&lt;&gt;0,+H49-M49,0)</f>
        <v>0</v>
      </c>
      <c r="O49" s="162">
        <f t="shared" ref="O49:O72" si="20">+N49-L49</f>
        <v>0</v>
      </c>
      <c r="P49" s="4"/>
    </row>
    <row r="50" spans="2:16">
      <c r="B50" s="9" t="str">
        <f t="shared" si="6"/>
        <v/>
      </c>
      <c r="C50" s="157">
        <f>IF(D11="","-",+C49+1)</f>
        <v>2042</v>
      </c>
      <c r="D50" s="163">
        <f>IF(F49+SUM(E$17:E49)=D$10,F49,D$10-SUM(E$17:E49))</f>
        <v>1221515.1976604215</v>
      </c>
      <c r="E50" s="164">
        <f>IF(+I14&lt;F49,I14,D50)</f>
        <v>111640.38095238095</v>
      </c>
      <c r="F50" s="163">
        <f t="shared" si="16"/>
        <v>1109874.8167080404</v>
      </c>
      <c r="G50" s="165">
        <f t="shared" si="14"/>
        <v>237541.01014836007</v>
      </c>
      <c r="H50" s="147">
        <f t="shared" si="15"/>
        <v>237541.01014836007</v>
      </c>
      <c r="I50" s="160">
        <f t="shared" si="17"/>
        <v>0</v>
      </c>
      <c r="J50" s="160"/>
      <c r="K50" s="335"/>
      <c r="L50" s="162">
        <f t="shared" si="18"/>
        <v>0</v>
      </c>
      <c r="M50" s="335"/>
      <c r="N50" s="162">
        <f t="shared" si="19"/>
        <v>0</v>
      </c>
      <c r="O50" s="162">
        <f t="shared" si="20"/>
        <v>0</v>
      </c>
      <c r="P50" s="4"/>
    </row>
    <row r="51" spans="2:16">
      <c r="B51" s="9" t="str">
        <f t="shared" si="6"/>
        <v/>
      </c>
      <c r="C51" s="157">
        <f>IF(D11="","-",+C50+1)</f>
        <v>2043</v>
      </c>
      <c r="D51" s="163">
        <f>IF(F50+SUM(E$17:E50)=D$10,F50,D$10-SUM(E$17:E50))</f>
        <v>1109874.8167080404</v>
      </c>
      <c r="E51" s="164">
        <f>IF(+I14&lt;F50,I14,D51)</f>
        <v>111640.38095238095</v>
      </c>
      <c r="F51" s="163">
        <f t="shared" si="16"/>
        <v>998234.43575565948</v>
      </c>
      <c r="G51" s="165">
        <f t="shared" si="14"/>
        <v>225483.31570945599</v>
      </c>
      <c r="H51" s="147">
        <f t="shared" si="15"/>
        <v>225483.31570945599</v>
      </c>
      <c r="I51" s="160">
        <f t="shared" si="17"/>
        <v>0</v>
      </c>
      <c r="J51" s="160"/>
      <c r="K51" s="335"/>
      <c r="L51" s="162">
        <f t="shared" si="18"/>
        <v>0</v>
      </c>
      <c r="M51" s="335"/>
      <c r="N51" s="162">
        <f t="shared" si="19"/>
        <v>0</v>
      </c>
      <c r="O51" s="162">
        <f t="shared" si="20"/>
        <v>0</v>
      </c>
      <c r="P51" s="4"/>
    </row>
    <row r="52" spans="2:16">
      <c r="B52" s="9" t="str">
        <f t="shared" si="6"/>
        <v/>
      </c>
      <c r="C52" s="157">
        <f>IF(D11="","-",+C51+1)</f>
        <v>2044</v>
      </c>
      <c r="D52" s="163">
        <f>IF(F51+SUM(E$17:E51)=D$10,F51,D$10-SUM(E$17:E51))</f>
        <v>998234.43575565948</v>
      </c>
      <c r="E52" s="164">
        <f>IF(+I14&lt;F51,I14,D52)</f>
        <v>111640.38095238095</v>
      </c>
      <c r="F52" s="163">
        <f t="shared" si="16"/>
        <v>886594.05480327853</v>
      </c>
      <c r="G52" s="165">
        <f t="shared" si="14"/>
        <v>213425.6212705519</v>
      </c>
      <c r="H52" s="147">
        <f t="shared" si="15"/>
        <v>213425.6212705519</v>
      </c>
      <c r="I52" s="160">
        <f t="shared" si="17"/>
        <v>0</v>
      </c>
      <c r="J52" s="160"/>
      <c r="K52" s="335"/>
      <c r="L52" s="162">
        <f t="shared" si="18"/>
        <v>0</v>
      </c>
      <c r="M52" s="335"/>
      <c r="N52" s="162">
        <f t="shared" si="19"/>
        <v>0</v>
      </c>
      <c r="O52" s="162">
        <f t="shared" si="20"/>
        <v>0</v>
      </c>
      <c r="P52" s="4"/>
    </row>
    <row r="53" spans="2:16">
      <c r="B53" s="9" t="str">
        <f t="shared" si="6"/>
        <v/>
      </c>
      <c r="C53" s="157">
        <f>IF(D11="","-",+C52+1)</f>
        <v>2045</v>
      </c>
      <c r="D53" s="163">
        <f>IF(F52+SUM(E$17:E52)=D$10,F52,D$10-SUM(E$17:E52))</f>
        <v>886594.05480327853</v>
      </c>
      <c r="E53" s="164">
        <f>IF(+I14&lt;F52,I14,D53)</f>
        <v>111640.38095238095</v>
      </c>
      <c r="F53" s="163">
        <f t="shared" si="16"/>
        <v>774953.67385089758</v>
      </c>
      <c r="G53" s="165">
        <f t="shared" si="14"/>
        <v>201367.92683164781</v>
      </c>
      <c r="H53" s="147">
        <f t="shared" si="15"/>
        <v>201367.92683164781</v>
      </c>
      <c r="I53" s="160">
        <f t="shared" si="17"/>
        <v>0</v>
      </c>
      <c r="J53" s="160"/>
      <c r="K53" s="335"/>
      <c r="L53" s="162">
        <f t="shared" si="18"/>
        <v>0</v>
      </c>
      <c r="M53" s="335"/>
      <c r="N53" s="162">
        <f t="shared" si="19"/>
        <v>0</v>
      </c>
      <c r="O53" s="162">
        <f t="shared" si="20"/>
        <v>0</v>
      </c>
      <c r="P53" s="4"/>
    </row>
    <row r="54" spans="2:16">
      <c r="B54" s="9" t="str">
        <f t="shared" si="6"/>
        <v/>
      </c>
      <c r="C54" s="157">
        <f>IF(D11="","-",+C53+1)</f>
        <v>2046</v>
      </c>
      <c r="D54" s="163">
        <f>IF(F53+SUM(E$17:E53)=D$10,F53,D$10-SUM(E$17:E53))</f>
        <v>774953.67385089758</v>
      </c>
      <c r="E54" s="164">
        <f>IF(+I14&lt;F53,I14,D54)</f>
        <v>111640.38095238095</v>
      </c>
      <c r="F54" s="163">
        <f t="shared" si="16"/>
        <v>663313.29289851664</v>
      </c>
      <c r="G54" s="165">
        <f t="shared" si="14"/>
        <v>189310.23239274372</v>
      </c>
      <c r="H54" s="147">
        <f t="shared" si="15"/>
        <v>189310.23239274372</v>
      </c>
      <c r="I54" s="160">
        <f t="shared" si="17"/>
        <v>0</v>
      </c>
      <c r="J54" s="160"/>
      <c r="K54" s="335"/>
      <c r="L54" s="162">
        <f t="shared" si="18"/>
        <v>0</v>
      </c>
      <c r="M54" s="335"/>
      <c r="N54" s="162">
        <f t="shared" si="19"/>
        <v>0</v>
      </c>
      <c r="O54" s="162">
        <f t="shared" si="20"/>
        <v>0</v>
      </c>
      <c r="P54" s="4"/>
    </row>
    <row r="55" spans="2:16">
      <c r="B55" s="9" t="str">
        <f t="shared" si="6"/>
        <v/>
      </c>
      <c r="C55" s="157">
        <f>IF(D11="","-",+C54+1)</f>
        <v>2047</v>
      </c>
      <c r="D55" s="163">
        <f>IF(F54+SUM(E$17:E54)=D$10,F54,D$10-SUM(E$17:E54))</f>
        <v>663313.29289851664</v>
      </c>
      <c r="E55" s="164">
        <f>IF(+I14&lt;F54,I14,D55)</f>
        <v>111640.38095238095</v>
      </c>
      <c r="F55" s="163">
        <f t="shared" si="16"/>
        <v>551672.91194613569</v>
      </c>
      <c r="G55" s="165">
        <f t="shared" si="14"/>
        <v>177252.53795383961</v>
      </c>
      <c r="H55" s="147">
        <f t="shared" si="15"/>
        <v>177252.53795383961</v>
      </c>
      <c r="I55" s="160">
        <f t="shared" si="17"/>
        <v>0</v>
      </c>
      <c r="J55" s="160"/>
      <c r="K55" s="335"/>
      <c r="L55" s="162">
        <f t="shared" si="18"/>
        <v>0</v>
      </c>
      <c r="M55" s="335"/>
      <c r="N55" s="162">
        <f t="shared" si="19"/>
        <v>0</v>
      </c>
      <c r="O55" s="162">
        <f t="shared" si="20"/>
        <v>0</v>
      </c>
      <c r="P55" s="4"/>
    </row>
    <row r="56" spans="2:16">
      <c r="B56" s="9" t="str">
        <f t="shared" si="6"/>
        <v/>
      </c>
      <c r="C56" s="157">
        <f>IF(D11="","-",+C55+1)</f>
        <v>2048</v>
      </c>
      <c r="D56" s="163">
        <f>IF(F55+SUM(E$17:E55)=D$10,F55,D$10-SUM(E$17:E55))</f>
        <v>551672.91194613569</v>
      </c>
      <c r="E56" s="164">
        <f>IF(+I14&lt;F55,I14,D56)</f>
        <v>111640.38095238095</v>
      </c>
      <c r="F56" s="163">
        <f t="shared" si="16"/>
        <v>440032.53099375474</v>
      </c>
      <c r="G56" s="165">
        <f t="shared" si="14"/>
        <v>165194.84351493552</v>
      </c>
      <c r="H56" s="147">
        <f t="shared" si="15"/>
        <v>165194.84351493552</v>
      </c>
      <c r="I56" s="160">
        <f t="shared" si="17"/>
        <v>0</v>
      </c>
      <c r="J56" s="160"/>
      <c r="K56" s="335"/>
      <c r="L56" s="162">
        <f t="shared" si="18"/>
        <v>0</v>
      </c>
      <c r="M56" s="335"/>
      <c r="N56" s="162">
        <f t="shared" si="19"/>
        <v>0</v>
      </c>
      <c r="O56" s="162">
        <f t="shared" si="20"/>
        <v>0</v>
      </c>
      <c r="P56" s="4"/>
    </row>
    <row r="57" spans="2:16">
      <c r="B57" s="9" t="str">
        <f t="shared" si="6"/>
        <v/>
      </c>
      <c r="C57" s="157">
        <f>IF(D11="","-",+C56+1)</f>
        <v>2049</v>
      </c>
      <c r="D57" s="163">
        <f>IF(F56+SUM(E$17:E56)=D$10,F56,D$10-SUM(E$17:E56))</f>
        <v>440032.53099375474</v>
      </c>
      <c r="E57" s="164">
        <f>IF(+I14&lt;F56,I14,D57)</f>
        <v>111640.38095238095</v>
      </c>
      <c r="F57" s="163">
        <f t="shared" si="16"/>
        <v>328392.1500413738</v>
      </c>
      <c r="G57" s="165">
        <f t="shared" si="14"/>
        <v>153137.14907603143</v>
      </c>
      <c r="H57" s="147">
        <f t="shared" si="15"/>
        <v>153137.14907603143</v>
      </c>
      <c r="I57" s="160">
        <f t="shared" si="17"/>
        <v>0</v>
      </c>
      <c r="J57" s="160"/>
      <c r="K57" s="335"/>
      <c r="L57" s="162">
        <f t="shared" si="18"/>
        <v>0</v>
      </c>
      <c r="M57" s="335"/>
      <c r="N57" s="162">
        <f t="shared" si="19"/>
        <v>0</v>
      </c>
      <c r="O57" s="162">
        <f t="shared" si="20"/>
        <v>0</v>
      </c>
      <c r="P57" s="4"/>
    </row>
    <row r="58" spans="2:16">
      <c r="B58" s="9" t="str">
        <f t="shared" si="6"/>
        <v/>
      </c>
      <c r="C58" s="157">
        <f>IF(D11="","-",+C57+1)</f>
        <v>2050</v>
      </c>
      <c r="D58" s="163">
        <f>IF(F57+SUM(E$17:E57)=D$10,F57,D$10-SUM(E$17:E57))</f>
        <v>328392.1500413738</v>
      </c>
      <c r="E58" s="164">
        <f>IF(+I14&lt;F57,I14,D58)</f>
        <v>111640.38095238095</v>
      </c>
      <c r="F58" s="163">
        <f t="shared" si="16"/>
        <v>216751.76908899285</v>
      </c>
      <c r="G58" s="165">
        <f t="shared" si="14"/>
        <v>141079.45463712735</v>
      </c>
      <c r="H58" s="147">
        <f t="shared" si="15"/>
        <v>141079.45463712735</v>
      </c>
      <c r="I58" s="160">
        <f t="shared" si="17"/>
        <v>0</v>
      </c>
      <c r="J58" s="160"/>
      <c r="K58" s="335"/>
      <c r="L58" s="162">
        <f t="shared" si="18"/>
        <v>0</v>
      </c>
      <c r="M58" s="335"/>
      <c r="N58" s="162">
        <f t="shared" si="19"/>
        <v>0</v>
      </c>
      <c r="O58" s="162">
        <f t="shared" si="20"/>
        <v>0</v>
      </c>
      <c r="P58" s="4"/>
    </row>
    <row r="59" spans="2:16">
      <c r="B59" s="9" t="str">
        <f t="shared" si="6"/>
        <v/>
      </c>
      <c r="C59" s="157">
        <f>IF(D11="","-",+C58+1)</f>
        <v>2051</v>
      </c>
      <c r="D59" s="163">
        <f>IF(F58+SUM(E$17:E58)=D$10,F58,D$10-SUM(E$17:E58))</f>
        <v>216751.76908899285</v>
      </c>
      <c r="E59" s="164">
        <f>IF(+I14&lt;F58,I14,D59)</f>
        <v>111640.38095238095</v>
      </c>
      <c r="F59" s="163">
        <f t="shared" si="16"/>
        <v>105111.3881366119</v>
      </c>
      <c r="G59" s="165">
        <f t="shared" si="14"/>
        <v>129021.76019822326</v>
      </c>
      <c r="H59" s="147">
        <f t="shared" si="15"/>
        <v>129021.76019822326</v>
      </c>
      <c r="I59" s="160">
        <f t="shared" si="17"/>
        <v>0</v>
      </c>
      <c r="J59" s="160"/>
      <c r="K59" s="335"/>
      <c r="L59" s="162">
        <f t="shared" si="18"/>
        <v>0</v>
      </c>
      <c r="M59" s="335"/>
      <c r="N59" s="162">
        <f t="shared" si="19"/>
        <v>0</v>
      </c>
      <c r="O59" s="162">
        <f t="shared" si="20"/>
        <v>0</v>
      </c>
      <c r="P59" s="4"/>
    </row>
    <row r="60" spans="2:16">
      <c r="B60" s="9" t="str">
        <f t="shared" si="6"/>
        <v/>
      </c>
      <c r="C60" s="157">
        <f>IF(D11="","-",+C59+1)</f>
        <v>2052</v>
      </c>
      <c r="D60" s="163">
        <f>IF(F59+SUM(E$17:E59)=D$10,F59,D$10-SUM(E$17:E59))</f>
        <v>105111.3881366119</v>
      </c>
      <c r="E60" s="164">
        <f>IF(+I14&lt;F59,I14,D60)</f>
        <v>105111.3881366119</v>
      </c>
      <c r="F60" s="163">
        <f t="shared" si="16"/>
        <v>0</v>
      </c>
      <c r="G60" s="165">
        <f t="shared" si="14"/>
        <v>110787.65414980703</v>
      </c>
      <c r="H60" s="147">
        <f t="shared" si="15"/>
        <v>110787.65414980703</v>
      </c>
      <c r="I60" s="160">
        <f t="shared" si="17"/>
        <v>0</v>
      </c>
      <c r="J60" s="160"/>
      <c r="K60" s="335"/>
      <c r="L60" s="162">
        <f t="shared" si="18"/>
        <v>0</v>
      </c>
      <c r="M60" s="335"/>
      <c r="N60" s="162">
        <f t="shared" si="19"/>
        <v>0</v>
      </c>
      <c r="O60" s="162">
        <f t="shared" si="20"/>
        <v>0</v>
      </c>
      <c r="P60" s="4"/>
    </row>
    <row r="61" spans="2:16">
      <c r="B61" s="9" t="str">
        <f t="shared" si="6"/>
        <v/>
      </c>
      <c r="C61" s="157">
        <f>IF(D11="","-",+C60+1)</f>
        <v>2053</v>
      </c>
      <c r="D61" s="163">
        <f>IF(F60+SUM(E$17:E60)=D$10,F60,D$10-SUM(E$17:E60))</f>
        <v>0</v>
      </c>
      <c r="E61" s="164">
        <f>IF(+I14&lt;F60,I14,D61)</f>
        <v>0</v>
      </c>
      <c r="F61" s="163">
        <f t="shared" si="16"/>
        <v>0</v>
      </c>
      <c r="G61" s="165">
        <f t="shared" si="14"/>
        <v>0</v>
      </c>
      <c r="H61" s="147">
        <f t="shared" si="15"/>
        <v>0</v>
      </c>
      <c r="I61" s="160">
        <f t="shared" si="17"/>
        <v>0</v>
      </c>
      <c r="J61" s="160"/>
      <c r="K61" s="335"/>
      <c r="L61" s="162">
        <f t="shared" si="18"/>
        <v>0</v>
      </c>
      <c r="M61" s="335"/>
      <c r="N61" s="162">
        <f t="shared" si="19"/>
        <v>0</v>
      </c>
      <c r="O61" s="162">
        <f t="shared" si="20"/>
        <v>0</v>
      </c>
      <c r="P61" s="4"/>
    </row>
    <row r="62" spans="2:16">
      <c r="B62" s="9" t="str">
        <f t="shared" si="6"/>
        <v/>
      </c>
      <c r="C62" s="157">
        <f>IF(D11="","-",+C61+1)</f>
        <v>2054</v>
      </c>
      <c r="D62" s="163">
        <f>IF(F61+SUM(E$17:E61)=D$10,F61,D$10-SUM(E$17:E61))</f>
        <v>0</v>
      </c>
      <c r="E62" s="164">
        <f>IF(+I14&lt;F61,I14,D62)</f>
        <v>0</v>
      </c>
      <c r="F62" s="163">
        <f t="shared" si="16"/>
        <v>0</v>
      </c>
      <c r="G62" s="165">
        <f t="shared" si="14"/>
        <v>0</v>
      </c>
      <c r="H62" s="147">
        <f t="shared" si="15"/>
        <v>0</v>
      </c>
      <c r="I62" s="160">
        <f t="shared" si="17"/>
        <v>0</v>
      </c>
      <c r="J62" s="160"/>
      <c r="K62" s="335"/>
      <c r="L62" s="162">
        <f t="shared" si="18"/>
        <v>0</v>
      </c>
      <c r="M62" s="335"/>
      <c r="N62" s="162">
        <f t="shared" si="19"/>
        <v>0</v>
      </c>
      <c r="O62" s="162">
        <f t="shared" si="20"/>
        <v>0</v>
      </c>
      <c r="P62" s="4"/>
    </row>
    <row r="63" spans="2:16">
      <c r="B63" s="9" t="str">
        <f t="shared" si="6"/>
        <v/>
      </c>
      <c r="C63" s="157">
        <f>IF(D11="","-",+C62+1)</f>
        <v>2055</v>
      </c>
      <c r="D63" s="163">
        <f>IF(F62+SUM(E$17:E62)=D$10,F62,D$10-SUM(E$17:E62))</f>
        <v>0</v>
      </c>
      <c r="E63" s="164">
        <f>IF(+I14&lt;F62,I14,D63)</f>
        <v>0</v>
      </c>
      <c r="F63" s="163">
        <f t="shared" si="16"/>
        <v>0</v>
      </c>
      <c r="G63" s="165">
        <f t="shared" si="14"/>
        <v>0</v>
      </c>
      <c r="H63" s="147">
        <f t="shared" si="15"/>
        <v>0</v>
      </c>
      <c r="I63" s="160">
        <f t="shared" si="17"/>
        <v>0</v>
      </c>
      <c r="J63" s="160"/>
      <c r="K63" s="335"/>
      <c r="L63" s="162">
        <f t="shared" si="18"/>
        <v>0</v>
      </c>
      <c r="M63" s="335"/>
      <c r="N63" s="162">
        <f t="shared" si="19"/>
        <v>0</v>
      </c>
      <c r="O63" s="162">
        <f t="shared" si="20"/>
        <v>0</v>
      </c>
      <c r="P63" s="4"/>
    </row>
    <row r="64" spans="2:16">
      <c r="B64" s="9" t="str">
        <f t="shared" si="6"/>
        <v/>
      </c>
      <c r="C64" s="157">
        <f>IF(D11="","-",+C63+1)</f>
        <v>2056</v>
      </c>
      <c r="D64" s="163">
        <f>IF(F63+SUM(E$17:E63)=D$10,F63,D$10-SUM(E$17:E63))</f>
        <v>0</v>
      </c>
      <c r="E64" s="164">
        <f>IF(+I14&lt;F63,I14,D64)</f>
        <v>0</v>
      </c>
      <c r="F64" s="163">
        <f t="shared" si="16"/>
        <v>0</v>
      </c>
      <c r="G64" s="165">
        <f t="shared" si="14"/>
        <v>0</v>
      </c>
      <c r="H64" s="147">
        <f t="shared" si="15"/>
        <v>0</v>
      </c>
      <c r="I64" s="160">
        <f t="shared" si="17"/>
        <v>0</v>
      </c>
      <c r="J64" s="160"/>
      <c r="K64" s="335"/>
      <c r="L64" s="162">
        <f t="shared" si="18"/>
        <v>0</v>
      </c>
      <c r="M64" s="335"/>
      <c r="N64" s="162">
        <f t="shared" si="19"/>
        <v>0</v>
      </c>
      <c r="O64" s="162">
        <f t="shared" si="20"/>
        <v>0</v>
      </c>
      <c r="P64" s="4"/>
    </row>
    <row r="65" spans="2:16">
      <c r="B65" s="9" t="str">
        <f t="shared" si="6"/>
        <v/>
      </c>
      <c r="C65" s="157">
        <f>IF(D11="","-",+C64+1)</f>
        <v>2057</v>
      </c>
      <c r="D65" s="163">
        <f>IF(F64+SUM(E$17:E64)=D$10,F64,D$10-SUM(E$17:E64))</f>
        <v>0</v>
      </c>
      <c r="E65" s="164">
        <f>IF(+I14&lt;F64,I14,D65)</f>
        <v>0</v>
      </c>
      <c r="F65" s="163">
        <f t="shared" si="16"/>
        <v>0</v>
      </c>
      <c r="G65" s="165">
        <f t="shared" si="14"/>
        <v>0</v>
      </c>
      <c r="H65" s="147">
        <f t="shared" si="15"/>
        <v>0</v>
      </c>
      <c r="I65" s="160">
        <f t="shared" si="17"/>
        <v>0</v>
      </c>
      <c r="J65" s="160"/>
      <c r="K65" s="335"/>
      <c r="L65" s="162">
        <f t="shared" si="18"/>
        <v>0</v>
      </c>
      <c r="M65" s="335"/>
      <c r="N65" s="162">
        <f t="shared" si="19"/>
        <v>0</v>
      </c>
      <c r="O65" s="162">
        <f t="shared" si="20"/>
        <v>0</v>
      </c>
      <c r="P65" s="4"/>
    </row>
    <row r="66" spans="2:16">
      <c r="B66" s="9" t="str">
        <f t="shared" si="6"/>
        <v/>
      </c>
      <c r="C66" s="157">
        <f>IF(D11="","-",+C65+1)</f>
        <v>2058</v>
      </c>
      <c r="D66" s="163">
        <f>IF(F65+SUM(E$17:E65)=D$10,F65,D$10-SUM(E$17:E65))</f>
        <v>0</v>
      </c>
      <c r="E66" s="164">
        <f>IF(+I14&lt;F65,I14,D66)</f>
        <v>0</v>
      </c>
      <c r="F66" s="163">
        <f t="shared" si="16"/>
        <v>0</v>
      </c>
      <c r="G66" s="165">
        <f t="shared" si="14"/>
        <v>0</v>
      </c>
      <c r="H66" s="147">
        <f t="shared" si="15"/>
        <v>0</v>
      </c>
      <c r="I66" s="160">
        <f t="shared" si="17"/>
        <v>0</v>
      </c>
      <c r="J66" s="160"/>
      <c r="K66" s="335"/>
      <c r="L66" s="162">
        <f t="shared" si="18"/>
        <v>0</v>
      </c>
      <c r="M66" s="335"/>
      <c r="N66" s="162">
        <f t="shared" si="19"/>
        <v>0</v>
      </c>
      <c r="O66" s="162">
        <f t="shared" si="20"/>
        <v>0</v>
      </c>
      <c r="P66" s="4"/>
    </row>
    <row r="67" spans="2:16">
      <c r="B67" s="9" t="str">
        <f t="shared" si="6"/>
        <v/>
      </c>
      <c r="C67" s="157">
        <f>IF(D11="","-",+C66+1)</f>
        <v>2059</v>
      </c>
      <c r="D67" s="163">
        <f>IF(F66+SUM(E$17:E66)=D$10,F66,D$10-SUM(E$17:E66))</f>
        <v>0</v>
      </c>
      <c r="E67" s="164">
        <f>IF(+I14&lt;F66,I14,D67)</f>
        <v>0</v>
      </c>
      <c r="F67" s="163">
        <f t="shared" si="16"/>
        <v>0</v>
      </c>
      <c r="G67" s="165">
        <f t="shared" si="14"/>
        <v>0</v>
      </c>
      <c r="H67" s="147">
        <f t="shared" si="15"/>
        <v>0</v>
      </c>
      <c r="I67" s="160">
        <f t="shared" si="17"/>
        <v>0</v>
      </c>
      <c r="J67" s="160"/>
      <c r="K67" s="335"/>
      <c r="L67" s="162">
        <f t="shared" si="18"/>
        <v>0</v>
      </c>
      <c r="M67" s="335"/>
      <c r="N67" s="162">
        <f t="shared" si="19"/>
        <v>0</v>
      </c>
      <c r="O67" s="162">
        <f t="shared" si="20"/>
        <v>0</v>
      </c>
      <c r="P67" s="4"/>
    </row>
    <row r="68" spans="2:16">
      <c r="B68" s="9" t="str">
        <f t="shared" si="6"/>
        <v/>
      </c>
      <c r="C68" s="157">
        <f>IF(D11="","-",+C67+1)</f>
        <v>2060</v>
      </c>
      <c r="D68" s="163">
        <f>IF(F67+SUM(E$17:E67)=D$10,F67,D$10-SUM(E$17:E67))</f>
        <v>0</v>
      </c>
      <c r="E68" s="164">
        <f>IF(+I14&lt;F67,I14,D68)</f>
        <v>0</v>
      </c>
      <c r="F68" s="163">
        <f t="shared" si="16"/>
        <v>0</v>
      </c>
      <c r="G68" s="165">
        <f t="shared" si="14"/>
        <v>0</v>
      </c>
      <c r="H68" s="147">
        <f t="shared" si="15"/>
        <v>0</v>
      </c>
      <c r="I68" s="160">
        <f t="shared" si="17"/>
        <v>0</v>
      </c>
      <c r="J68" s="160"/>
      <c r="K68" s="335"/>
      <c r="L68" s="162">
        <f t="shared" si="18"/>
        <v>0</v>
      </c>
      <c r="M68" s="335"/>
      <c r="N68" s="162">
        <f t="shared" si="19"/>
        <v>0</v>
      </c>
      <c r="O68" s="162">
        <f t="shared" si="20"/>
        <v>0</v>
      </c>
      <c r="P68" s="4"/>
    </row>
    <row r="69" spans="2:16">
      <c r="B69" s="9" t="str">
        <f t="shared" si="6"/>
        <v/>
      </c>
      <c r="C69" s="157">
        <f>IF(D11="","-",+C68+1)</f>
        <v>2061</v>
      </c>
      <c r="D69" s="163">
        <f>IF(F68+SUM(E$17:E68)=D$10,F68,D$10-SUM(E$17:E68))</f>
        <v>0</v>
      </c>
      <c r="E69" s="164">
        <f>IF(+I14&lt;F68,I14,D69)</f>
        <v>0</v>
      </c>
      <c r="F69" s="163">
        <f t="shared" si="16"/>
        <v>0</v>
      </c>
      <c r="G69" s="165">
        <f t="shared" si="14"/>
        <v>0</v>
      </c>
      <c r="H69" s="147">
        <f t="shared" si="15"/>
        <v>0</v>
      </c>
      <c r="I69" s="160">
        <f t="shared" si="17"/>
        <v>0</v>
      </c>
      <c r="J69" s="160"/>
      <c r="K69" s="335"/>
      <c r="L69" s="162">
        <f t="shared" si="18"/>
        <v>0</v>
      </c>
      <c r="M69" s="335"/>
      <c r="N69" s="162">
        <f t="shared" si="19"/>
        <v>0</v>
      </c>
      <c r="O69" s="162">
        <f t="shared" si="20"/>
        <v>0</v>
      </c>
      <c r="P69" s="4"/>
    </row>
    <row r="70" spans="2:16">
      <c r="B70" s="9" t="str">
        <f t="shared" si="6"/>
        <v/>
      </c>
      <c r="C70" s="157">
        <f>IF(D11="","-",+C69+1)</f>
        <v>2062</v>
      </c>
      <c r="D70" s="163">
        <f>IF(F69+SUM(E$17:E69)=D$10,F69,D$10-SUM(E$17:E69))</f>
        <v>0</v>
      </c>
      <c r="E70" s="164">
        <f>IF(+I14&lt;F69,I14,D70)</f>
        <v>0</v>
      </c>
      <c r="F70" s="163">
        <f t="shared" si="16"/>
        <v>0</v>
      </c>
      <c r="G70" s="165">
        <f t="shared" si="14"/>
        <v>0</v>
      </c>
      <c r="H70" s="147">
        <f t="shared" si="15"/>
        <v>0</v>
      </c>
      <c r="I70" s="160">
        <f t="shared" si="17"/>
        <v>0</v>
      </c>
      <c r="J70" s="160"/>
      <c r="K70" s="335"/>
      <c r="L70" s="162">
        <f t="shared" si="18"/>
        <v>0</v>
      </c>
      <c r="M70" s="335"/>
      <c r="N70" s="162">
        <f t="shared" si="19"/>
        <v>0</v>
      </c>
      <c r="O70" s="162">
        <f t="shared" si="20"/>
        <v>0</v>
      </c>
      <c r="P70" s="4"/>
    </row>
    <row r="71" spans="2:16">
      <c r="B71" s="9" t="str">
        <f t="shared" si="6"/>
        <v/>
      </c>
      <c r="C71" s="157">
        <f>IF(D11="","-",+C70+1)</f>
        <v>2063</v>
      </c>
      <c r="D71" s="163">
        <f>IF(F70+SUM(E$17:E70)=D$10,F70,D$10-SUM(E$17:E70))</f>
        <v>0</v>
      </c>
      <c r="E71" s="164">
        <f>IF(+I14&lt;F70,I14,D71)</f>
        <v>0</v>
      </c>
      <c r="F71" s="163">
        <f t="shared" si="16"/>
        <v>0</v>
      </c>
      <c r="G71" s="165">
        <f t="shared" si="14"/>
        <v>0</v>
      </c>
      <c r="H71" s="147">
        <f t="shared" si="15"/>
        <v>0</v>
      </c>
      <c r="I71" s="160">
        <f t="shared" si="17"/>
        <v>0</v>
      </c>
      <c r="J71" s="160"/>
      <c r="K71" s="335"/>
      <c r="L71" s="162">
        <f t="shared" si="18"/>
        <v>0</v>
      </c>
      <c r="M71" s="335"/>
      <c r="N71" s="162">
        <f t="shared" si="19"/>
        <v>0</v>
      </c>
      <c r="O71" s="162">
        <f t="shared" si="20"/>
        <v>0</v>
      </c>
      <c r="P71" s="4"/>
    </row>
    <row r="72" spans="2:16" ht="13.5" thickBot="1">
      <c r="B72" s="9" t="str">
        <f t="shared" si="6"/>
        <v/>
      </c>
      <c r="C72" s="168">
        <f>IF(D11="","-",+C71+1)</f>
        <v>2064</v>
      </c>
      <c r="D72" s="169">
        <f>IF(F71+SUM(E$17:E71)=D$10,F71,D$10-SUM(E$17:E71))</f>
        <v>0</v>
      </c>
      <c r="E72" s="170">
        <f>IF(+I14&lt;F71,I14,D72)</f>
        <v>0</v>
      </c>
      <c r="F72" s="169">
        <f t="shared" si="16"/>
        <v>0</v>
      </c>
      <c r="G72" s="169">
        <f t="shared" si="14"/>
        <v>0</v>
      </c>
      <c r="H72" s="169">
        <f t="shared" si="15"/>
        <v>0</v>
      </c>
      <c r="I72" s="172">
        <f t="shared" si="17"/>
        <v>0</v>
      </c>
      <c r="J72" s="160"/>
      <c r="K72" s="336"/>
      <c r="L72" s="173">
        <f t="shared" si="18"/>
        <v>0</v>
      </c>
      <c r="M72" s="336"/>
      <c r="N72" s="173">
        <f t="shared" si="19"/>
        <v>0</v>
      </c>
      <c r="O72" s="173">
        <f t="shared" si="20"/>
        <v>0</v>
      </c>
      <c r="P72" s="4"/>
    </row>
    <row r="73" spans="2:16">
      <c r="C73" s="158" t="s">
        <v>72</v>
      </c>
      <c r="D73" s="115"/>
      <c r="E73" s="115">
        <f>SUM(E17:E72)</f>
        <v>4688895.9999999991</v>
      </c>
      <c r="F73" s="115"/>
      <c r="G73" s="115">
        <f>SUM(G17:G72)</f>
        <v>17639157.853073865</v>
      </c>
      <c r="H73" s="115">
        <f>SUM(H17:H72)</f>
        <v>17639157.853073865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4" t="str">
        <f ca="1">P1</f>
        <v>PSO Project 2 of 28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2018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616009.3144662733</v>
      </c>
      <c r="N87" s="202">
        <f>IF(J92&lt;D11,0,VLOOKUP(J92,C17:O72,11))</f>
        <v>616009.3144662733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503393.56302800257</v>
      </c>
      <c r="N88" s="204">
        <f>IF(J92&lt;D11,0,VLOOKUP(J92,C99:P154,7))</f>
        <v>503393.56302800257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Craig Jct. to Broken Bow Dam 138 Rebuild (7.7mi)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-112615.75143827073</v>
      </c>
      <c r="N89" s="207">
        <f>+N88-N87</f>
        <v>-112615.75143827073</v>
      </c>
      <c r="O89" s="208">
        <f>+O88-O87</f>
        <v>0</v>
      </c>
      <c r="P89" s="1"/>
    </row>
    <row r="90" spans="1:16" ht="13.5" thickBot="1">
      <c r="C90" s="174"/>
      <c r="D90" s="177">
        <f>D8</f>
        <v>0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 t="str">
        <f>+D9</f>
        <v>TP2007059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138">
        <v>4688896.139999995</v>
      </c>
      <c r="E92" s="22" t="s">
        <v>89</v>
      </c>
      <c r="H92" s="139"/>
      <c r="I92" s="139"/>
      <c r="J92" s="140">
        <f>+'PSO.WS.G.BPU.ATRR.True-up'!M16</f>
        <v>2018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2009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5</v>
      </c>
      <c r="E94" s="141" t="s">
        <v>51</v>
      </c>
      <c r="F94" s="139"/>
      <c r="G94" s="139"/>
      <c r="J94" s="145">
        <f>'PSO.WS.G.BPU.ATRR.True-up'!$F$81</f>
        <v>0.10273556682691798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43</v>
      </c>
      <c r="E95" s="141" t="s">
        <v>54</v>
      </c>
      <c r="F95" s="139"/>
      <c r="G95" s="139"/>
      <c r="J95" s="145">
        <f>IF(H87="",J94,'PSO.WS.G.BPU.ATRR.True-up'!$F$80)</f>
        <v>0.10273556682691798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109044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277</v>
      </c>
      <c r="I97" s="339" t="s">
        <v>278</v>
      </c>
      <c r="J97" s="214" t="s">
        <v>93</v>
      </c>
      <c r="K97" s="216"/>
      <c r="L97" s="339" t="s">
        <v>203</v>
      </c>
      <c r="M97" s="151" t="s">
        <v>94</v>
      </c>
      <c r="N97" s="339" t="s">
        <v>203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2009</v>
      </c>
      <c r="D99" s="366">
        <v>0</v>
      </c>
      <c r="E99" s="368">
        <v>49223</v>
      </c>
      <c r="F99" s="371">
        <v>4676168</v>
      </c>
      <c r="G99" s="373">
        <v>2338084</v>
      </c>
      <c r="H99" s="374">
        <v>391070</v>
      </c>
      <c r="I99" s="375">
        <v>391070</v>
      </c>
      <c r="J99" s="162">
        <f t="shared" ref="J99:J130" si="21">+I99-H99</f>
        <v>0</v>
      </c>
      <c r="K99" s="162"/>
      <c r="L99" s="338">
        <f t="shared" ref="L99:L104" si="22">H99</f>
        <v>391070</v>
      </c>
      <c r="M99" s="161">
        <f t="shared" ref="M99:M130" si="23">IF(L99&lt;&gt;0,+H99-L99,0)</f>
        <v>0</v>
      </c>
      <c r="N99" s="338">
        <f t="shared" ref="N99:N104" si="24">I99</f>
        <v>391070</v>
      </c>
      <c r="O99" s="161">
        <f t="shared" ref="O99:O130" si="25">IF(N99&lt;&gt;0,+I99-N99,0)</f>
        <v>0</v>
      </c>
      <c r="P99" s="161">
        <f t="shared" ref="P99:P130" si="26">+O99-M99</f>
        <v>0</v>
      </c>
    </row>
    <row r="100" spans="1:16">
      <c r="B100" s="9" t="str">
        <f>IF(D100=F99,"","IU")</f>
        <v>IU</v>
      </c>
      <c r="C100" s="157">
        <f>IF(D93="","-",+C99+1)</f>
        <v>2010</v>
      </c>
      <c r="D100" s="366">
        <v>4639673.1399999997</v>
      </c>
      <c r="E100" s="368">
        <v>91939</v>
      </c>
      <c r="F100" s="371">
        <v>4547734.1399999997</v>
      </c>
      <c r="G100" s="371">
        <v>4593703.6399999997</v>
      </c>
      <c r="H100" s="368">
        <v>830676.46951907186</v>
      </c>
      <c r="I100" s="370">
        <v>830676.46951907186</v>
      </c>
      <c r="J100" s="162">
        <f t="shared" si="21"/>
        <v>0</v>
      </c>
      <c r="K100" s="162"/>
      <c r="L100" s="380">
        <f t="shared" si="22"/>
        <v>830676.46951907186</v>
      </c>
      <c r="M100" s="381">
        <f t="shared" si="23"/>
        <v>0</v>
      </c>
      <c r="N100" s="380">
        <f t="shared" si="24"/>
        <v>830676.46951907186</v>
      </c>
      <c r="O100" s="162">
        <f t="shared" si="25"/>
        <v>0</v>
      </c>
      <c r="P100" s="162">
        <f t="shared" si="26"/>
        <v>0</v>
      </c>
    </row>
    <row r="101" spans="1:16">
      <c r="B101" s="9" t="str">
        <f t="shared" ref="B101:B154" si="27">IF(D101=F100,"","IU")</f>
        <v/>
      </c>
      <c r="C101" s="404">
        <f>IF(D93="","-",+C100+1)</f>
        <v>2011</v>
      </c>
      <c r="D101" s="366">
        <v>4547734.1399999997</v>
      </c>
      <c r="E101" s="368">
        <v>90171</v>
      </c>
      <c r="F101" s="371">
        <v>4457563.1399999997</v>
      </c>
      <c r="G101" s="371">
        <v>4502648.6399999997</v>
      </c>
      <c r="H101" s="368">
        <v>719701.78616364778</v>
      </c>
      <c r="I101" s="370">
        <v>719701.78616364778</v>
      </c>
      <c r="J101" s="162">
        <f t="shared" si="21"/>
        <v>0</v>
      </c>
      <c r="K101" s="162"/>
      <c r="L101" s="380">
        <f t="shared" si="22"/>
        <v>719701.78616364778</v>
      </c>
      <c r="M101" s="381">
        <f t="shared" si="23"/>
        <v>0</v>
      </c>
      <c r="N101" s="380">
        <f t="shared" si="24"/>
        <v>719701.78616364778</v>
      </c>
      <c r="O101" s="162">
        <f t="shared" si="25"/>
        <v>0</v>
      </c>
      <c r="P101" s="162">
        <f t="shared" si="26"/>
        <v>0</v>
      </c>
    </row>
    <row r="102" spans="1:16">
      <c r="B102" s="9" t="str">
        <f t="shared" si="27"/>
        <v/>
      </c>
      <c r="C102" s="157">
        <f>IF(D93="","-",+C101+1)</f>
        <v>2012</v>
      </c>
      <c r="D102" s="366">
        <v>4457563.1399999997</v>
      </c>
      <c r="E102" s="368">
        <v>90171</v>
      </c>
      <c r="F102" s="371">
        <v>4367392.1399999997</v>
      </c>
      <c r="G102" s="371">
        <v>4412477.6399999997</v>
      </c>
      <c r="H102" s="368">
        <v>724930.09682284109</v>
      </c>
      <c r="I102" s="370">
        <v>724930.09682284109</v>
      </c>
      <c r="J102" s="162">
        <v>0</v>
      </c>
      <c r="K102" s="162"/>
      <c r="L102" s="380">
        <f t="shared" si="22"/>
        <v>724930.09682284109</v>
      </c>
      <c r="M102" s="381">
        <f t="shared" ref="M102:M107" si="28">IF(L102&lt;&gt;0,+H102-L102,0)</f>
        <v>0</v>
      </c>
      <c r="N102" s="380">
        <f t="shared" si="24"/>
        <v>724930.09682284109</v>
      </c>
      <c r="O102" s="162">
        <f>IF(N102&lt;&gt;0,+I102-N102,0)</f>
        <v>0</v>
      </c>
      <c r="P102" s="162">
        <f>+O102-M102</f>
        <v>0</v>
      </c>
    </row>
    <row r="103" spans="1:16">
      <c r="B103" s="9" t="str">
        <f t="shared" si="27"/>
        <v/>
      </c>
      <c r="C103" s="157">
        <f>IF(D93="","-",+C102+1)</f>
        <v>2013</v>
      </c>
      <c r="D103" s="366">
        <v>4367392.1399999997</v>
      </c>
      <c r="E103" s="368">
        <v>90171</v>
      </c>
      <c r="F103" s="371">
        <v>4277221.1399999997</v>
      </c>
      <c r="G103" s="371">
        <v>4322306.6399999997</v>
      </c>
      <c r="H103" s="368">
        <v>712322.06264393788</v>
      </c>
      <c r="I103" s="370">
        <v>712322.06264393788</v>
      </c>
      <c r="J103" s="162">
        <v>0</v>
      </c>
      <c r="K103" s="162"/>
      <c r="L103" s="380">
        <f t="shared" si="22"/>
        <v>712322.06264393788</v>
      </c>
      <c r="M103" s="381">
        <f t="shared" si="28"/>
        <v>0</v>
      </c>
      <c r="N103" s="380">
        <f t="shared" si="24"/>
        <v>712322.06264393788</v>
      </c>
      <c r="O103" s="162">
        <f>IF(N103&lt;&gt;0,+I103-N103,0)</f>
        <v>0</v>
      </c>
      <c r="P103" s="162">
        <f>+O103-M103</f>
        <v>0</v>
      </c>
    </row>
    <row r="104" spans="1:16">
      <c r="B104" s="9" t="str">
        <f t="shared" si="27"/>
        <v/>
      </c>
      <c r="C104" s="157">
        <f>IF(D93="","-",+C103+1)</f>
        <v>2014</v>
      </c>
      <c r="D104" s="366">
        <v>4277221.1399999997</v>
      </c>
      <c r="E104" s="368">
        <v>90171</v>
      </c>
      <c r="F104" s="371">
        <v>4187050.1399999997</v>
      </c>
      <c r="G104" s="371">
        <v>4232135.6399999997</v>
      </c>
      <c r="H104" s="368">
        <v>685191.9710405051</v>
      </c>
      <c r="I104" s="370">
        <v>685191.9710405051</v>
      </c>
      <c r="J104" s="162">
        <v>0</v>
      </c>
      <c r="K104" s="162"/>
      <c r="L104" s="380">
        <f t="shared" si="22"/>
        <v>685191.9710405051</v>
      </c>
      <c r="M104" s="381">
        <f t="shared" si="28"/>
        <v>0</v>
      </c>
      <c r="N104" s="380">
        <f t="shared" si="24"/>
        <v>685191.9710405051</v>
      </c>
      <c r="O104" s="162">
        <f>IF(N104&lt;&gt;0,+I104-N104,0)</f>
        <v>0</v>
      </c>
      <c r="P104" s="162">
        <f>+O104-M104</f>
        <v>0</v>
      </c>
    </row>
    <row r="105" spans="1:16">
      <c r="B105" s="9" t="str">
        <f t="shared" si="27"/>
        <v/>
      </c>
      <c r="C105" s="157">
        <f>IF(D93="","-",+C104+1)</f>
        <v>2015</v>
      </c>
      <c r="D105" s="366">
        <v>4187050.1399999997</v>
      </c>
      <c r="E105" s="368">
        <v>90171</v>
      </c>
      <c r="F105" s="371">
        <v>4096879.1399999997</v>
      </c>
      <c r="G105" s="371">
        <v>4141964.6399999997</v>
      </c>
      <c r="H105" s="368">
        <v>655308.7720911433</v>
      </c>
      <c r="I105" s="370">
        <v>655308.7720911433</v>
      </c>
      <c r="J105" s="162">
        <f t="shared" si="21"/>
        <v>0</v>
      </c>
      <c r="K105" s="162"/>
      <c r="L105" s="380">
        <f>H105</f>
        <v>655308.7720911433</v>
      </c>
      <c r="M105" s="381">
        <f t="shared" si="28"/>
        <v>0</v>
      </c>
      <c r="N105" s="380">
        <f>I105</f>
        <v>655308.7720911433</v>
      </c>
      <c r="O105" s="162">
        <f t="shared" si="25"/>
        <v>0</v>
      </c>
      <c r="P105" s="162">
        <f t="shared" si="26"/>
        <v>0</v>
      </c>
    </row>
    <row r="106" spans="1:16">
      <c r="B106" s="9" t="str">
        <f t="shared" si="27"/>
        <v/>
      </c>
      <c r="C106" s="157">
        <f>IF(D93="","-",+C105+1)</f>
        <v>2016</v>
      </c>
      <c r="D106" s="366">
        <v>4096879.1399999997</v>
      </c>
      <c r="E106" s="368">
        <v>101933</v>
      </c>
      <c r="F106" s="371">
        <v>3994946.1399999997</v>
      </c>
      <c r="G106" s="371">
        <v>4045912.6399999997</v>
      </c>
      <c r="H106" s="368">
        <v>623514.8578657991</v>
      </c>
      <c r="I106" s="370">
        <v>623514.8578657991</v>
      </c>
      <c r="J106" s="162">
        <v>0</v>
      </c>
      <c r="K106" s="162"/>
      <c r="L106" s="380">
        <f>H106</f>
        <v>623514.8578657991</v>
      </c>
      <c r="M106" s="381">
        <f t="shared" si="28"/>
        <v>0</v>
      </c>
      <c r="N106" s="380">
        <f>I106</f>
        <v>623514.8578657991</v>
      </c>
      <c r="O106" s="162">
        <f>IF(N106&lt;&gt;0,+I106-N106,0)</f>
        <v>0</v>
      </c>
      <c r="P106" s="162">
        <f>+O106-M106</f>
        <v>0</v>
      </c>
    </row>
    <row r="107" spans="1:16">
      <c r="B107" s="9" t="str">
        <f t="shared" si="27"/>
        <v/>
      </c>
      <c r="C107" s="157">
        <f>IF(D93="","-",+C106+1)</f>
        <v>2017</v>
      </c>
      <c r="D107" s="366">
        <v>3994946.1399999997</v>
      </c>
      <c r="E107" s="368">
        <v>101933</v>
      </c>
      <c r="F107" s="371">
        <v>3893013.1399999997</v>
      </c>
      <c r="G107" s="371">
        <v>3943979.6399999997</v>
      </c>
      <c r="H107" s="368">
        <v>602236.76208219538</v>
      </c>
      <c r="I107" s="370">
        <v>602236.76208219538</v>
      </c>
      <c r="J107" s="162">
        <f t="shared" si="21"/>
        <v>0</v>
      </c>
      <c r="K107" s="162"/>
      <c r="L107" s="380">
        <f>H107</f>
        <v>602236.76208219538</v>
      </c>
      <c r="M107" s="381">
        <f t="shared" si="28"/>
        <v>0</v>
      </c>
      <c r="N107" s="380">
        <f>I107</f>
        <v>602236.76208219538</v>
      </c>
      <c r="O107" s="162">
        <f>IF(N107&lt;&gt;0,+I107-N107,0)</f>
        <v>0</v>
      </c>
      <c r="P107" s="162">
        <f>+O107-M107</f>
        <v>0</v>
      </c>
    </row>
    <row r="108" spans="1:16">
      <c r="B108" s="9" t="str">
        <f t="shared" si="27"/>
        <v/>
      </c>
      <c r="C108" s="157">
        <f>IF(D93="","-",+C107+1)</f>
        <v>2018</v>
      </c>
      <c r="D108" s="158">
        <f>IF(F107+SUM(E$99:E107)=D$92,F107,D$92-SUM(E$99:E107))</f>
        <v>3893013.1399999997</v>
      </c>
      <c r="E108" s="165">
        <f>IF(+J96&lt;F107,J96,D108)</f>
        <v>109044</v>
      </c>
      <c r="F108" s="163">
        <f t="shared" ref="F108:F130" si="29">+D108-E108</f>
        <v>3783969.1399999997</v>
      </c>
      <c r="G108" s="163">
        <f t="shared" ref="G108:G130" si="30">+(F108+D108)/2</f>
        <v>3838491.1399999997</v>
      </c>
      <c r="H108" s="167">
        <f t="shared" ref="H108:H154" si="31">+J$94*G108+E108</f>
        <v>503393.56302800257</v>
      </c>
      <c r="I108" s="317">
        <f t="shared" ref="I108:I154" si="32">+J$95*G108+E108</f>
        <v>503393.56302800257</v>
      </c>
      <c r="J108" s="162">
        <f t="shared" si="21"/>
        <v>0</v>
      </c>
      <c r="K108" s="162"/>
      <c r="L108" s="335"/>
      <c r="M108" s="162">
        <f t="shared" si="23"/>
        <v>0</v>
      </c>
      <c r="N108" s="335"/>
      <c r="O108" s="162">
        <f t="shared" si="25"/>
        <v>0</v>
      </c>
      <c r="P108" s="162">
        <f t="shared" si="26"/>
        <v>0</v>
      </c>
    </row>
    <row r="109" spans="1:16">
      <c r="B109" s="9" t="str">
        <f t="shared" si="27"/>
        <v/>
      </c>
      <c r="C109" s="157">
        <f>IF(D93="","-",+C108+1)</f>
        <v>2019</v>
      </c>
      <c r="D109" s="158">
        <f>IF(F108+SUM(E$99:E108)=D$92,F108,D$92-SUM(E$99:E108))</f>
        <v>3783969.1399999997</v>
      </c>
      <c r="E109" s="165">
        <f>IF(+J96&lt;F108,J96,D109)</f>
        <v>109044</v>
      </c>
      <c r="F109" s="163">
        <f t="shared" si="29"/>
        <v>3674925.1399999997</v>
      </c>
      <c r="G109" s="163">
        <f t="shared" si="30"/>
        <v>3729447.1399999997</v>
      </c>
      <c r="H109" s="167">
        <f t="shared" si="31"/>
        <v>492190.8658789281</v>
      </c>
      <c r="I109" s="317">
        <f t="shared" si="32"/>
        <v>492190.8658789281</v>
      </c>
      <c r="J109" s="162">
        <f t="shared" si="21"/>
        <v>0</v>
      </c>
      <c r="K109" s="162"/>
      <c r="L109" s="335"/>
      <c r="M109" s="162">
        <f t="shared" si="23"/>
        <v>0</v>
      </c>
      <c r="N109" s="335"/>
      <c r="O109" s="162">
        <f t="shared" si="25"/>
        <v>0</v>
      </c>
      <c r="P109" s="162">
        <f t="shared" si="26"/>
        <v>0</v>
      </c>
    </row>
    <row r="110" spans="1:16">
      <c r="B110" s="9" t="str">
        <f t="shared" si="27"/>
        <v/>
      </c>
      <c r="C110" s="157">
        <f>IF(D93="","-",+C109+1)</f>
        <v>2020</v>
      </c>
      <c r="D110" s="158">
        <f>IF(F109+SUM(E$99:E109)=D$92,F109,D$92-SUM(E$99:E109))</f>
        <v>3674925.1399999997</v>
      </c>
      <c r="E110" s="165">
        <f>IF(+J96&lt;F109,J96,D110)</f>
        <v>109044</v>
      </c>
      <c r="F110" s="163">
        <f t="shared" si="29"/>
        <v>3565881.1399999997</v>
      </c>
      <c r="G110" s="163">
        <f t="shared" si="30"/>
        <v>3620403.1399999997</v>
      </c>
      <c r="H110" s="167">
        <f t="shared" si="31"/>
        <v>480988.16872985364</v>
      </c>
      <c r="I110" s="317">
        <f t="shared" si="32"/>
        <v>480988.16872985364</v>
      </c>
      <c r="J110" s="162">
        <f t="shared" si="21"/>
        <v>0</v>
      </c>
      <c r="K110" s="162"/>
      <c r="L110" s="335"/>
      <c r="M110" s="162">
        <f t="shared" si="23"/>
        <v>0</v>
      </c>
      <c r="N110" s="335"/>
      <c r="O110" s="162">
        <f t="shared" si="25"/>
        <v>0</v>
      </c>
      <c r="P110" s="162">
        <f t="shared" si="26"/>
        <v>0</v>
      </c>
    </row>
    <row r="111" spans="1:16">
      <c r="B111" s="9" t="str">
        <f t="shared" si="27"/>
        <v/>
      </c>
      <c r="C111" s="157">
        <f>IF(D93="","-",+C110+1)</f>
        <v>2021</v>
      </c>
      <c r="D111" s="158">
        <f>IF(F110+SUM(E$99:E110)=D$92,F110,D$92-SUM(E$99:E110))</f>
        <v>3565881.1399999997</v>
      </c>
      <c r="E111" s="165">
        <f>IF(+J96&lt;F110,J96,D111)</f>
        <v>109044</v>
      </c>
      <c r="F111" s="163">
        <f t="shared" si="29"/>
        <v>3456837.1399999997</v>
      </c>
      <c r="G111" s="163">
        <f t="shared" si="30"/>
        <v>3511359.1399999997</v>
      </c>
      <c r="H111" s="167">
        <f t="shared" si="31"/>
        <v>469785.47158077918</v>
      </c>
      <c r="I111" s="317">
        <f t="shared" si="32"/>
        <v>469785.47158077918</v>
      </c>
      <c r="J111" s="162">
        <f t="shared" si="21"/>
        <v>0</v>
      </c>
      <c r="K111" s="162"/>
      <c r="L111" s="335"/>
      <c r="M111" s="162">
        <f t="shared" si="23"/>
        <v>0</v>
      </c>
      <c r="N111" s="335"/>
      <c r="O111" s="162">
        <f t="shared" si="25"/>
        <v>0</v>
      </c>
      <c r="P111" s="162">
        <f t="shared" si="26"/>
        <v>0</v>
      </c>
    </row>
    <row r="112" spans="1:16">
      <c r="B112" s="9" t="str">
        <f t="shared" si="27"/>
        <v/>
      </c>
      <c r="C112" s="157">
        <f>IF(D93="","-",+C111+1)</f>
        <v>2022</v>
      </c>
      <c r="D112" s="158">
        <f>IF(F111+SUM(E$99:E111)=D$92,F111,D$92-SUM(E$99:E111))</f>
        <v>3456837.1399999997</v>
      </c>
      <c r="E112" s="165">
        <f>IF(+J96&lt;F111,J96,D112)</f>
        <v>109044</v>
      </c>
      <c r="F112" s="163">
        <f t="shared" si="29"/>
        <v>3347793.1399999997</v>
      </c>
      <c r="G112" s="163">
        <f t="shared" si="30"/>
        <v>3402315.1399999997</v>
      </c>
      <c r="H112" s="167">
        <f t="shared" si="31"/>
        <v>458582.77443170478</v>
      </c>
      <c r="I112" s="317">
        <f t="shared" si="32"/>
        <v>458582.77443170478</v>
      </c>
      <c r="J112" s="162">
        <f t="shared" si="21"/>
        <v>0</v>
      </c>
      <c r="K112" s="162"/>
      <c r="L112" s="335"/>
      <c r="M112" s="162">
        <f t="shared" si="23"/>
        <v>0</v>
      </c>
      <c r="N112" s="335"/>
      <c r="O112" s="162">
        <f t="shared" si="25"/>
        <v>0</v>
      </c>
      <c r="P112" s="162">
        <f t="shared" si="26"/>
        <v>0</v>
      </c>
    </row>
    <row r="113" spans="2:16">
      <c r="B113" s="9" t="str">
        <f t="shared" si="27"/>
        <v/>
      </c>
      <c r="C113" s="157">
        <f>IF(D93="","-",+C112+1)</f>
        <v>2023</v>
      </c>
      <c r="D113" s="158">
        <f>IF(F112+SUM(E$99:E112)=D$92,F112,D$92-SUM(E$99:E112))</f>
        <v>3347793.1399999997</v>
      </c>
      <c r="E113" s="165">
        <f>IF(+J96&lt;F112,J96,D113)</f>
        <v>109044</v>
      </c>
      <c r="F113" s="163">
        <f t="shared" si="29"/>
        <v>3238749.1399999997</v>
      </c>
      <c r="G113" s="163">
        <f t="shared" si="30"/>
        <v>3293271.1399999997</v>
      </c>
      <c r="H113" s="167">
        <f t="shared" si="31"/>
        <v>447380.07728263031</v>
      </c>
      <c r="I113" s="317">
        <f t="shared" si="32"/>
        <v>447380.07728263031</v>
      </c>
      <c r="J113" s="162">
        <f t="shared" si="21"/>
        <v>0</v>
      </c>
      <c r="K113" s="162"/>
      <c r="L113" s="335"/>
      <c r="M113" s="162">
        <f t="shared" si="23"/>
        <v>0</v>
      </c>
      <c r="N113" s="335"/>
      <c r="O113" s="162">
        <f t="shared" si="25"/>
        <v>0</v>
      </c>
      <c r="P113" s="162">
        <f t="shared" si="26"/>
        <v>0</v>
      </c>
    </row>
    <row r="114" spans="2:16">
      <c r="B114" s="9" t="str">
        <f t="shared" si="27"/>
        <v/>
      </c>
      <c r="C114" s="157">
        <f>IF(D93="","-",+C113+1)</f>
        <v>2024</v>
      </c>
      <c r="D114" s="158">
        <f>IF(F113+SUM(E$99:E113)=D$92,F113,D$92-SUM(E$99:E113))</f>
        <v>3238749.1399999997</v>
      </c>
      <c r="E114" s="165">
        <f>IF(+J96&lt;F113,J96,D114)</f>
        <v>109044</v>
      </c>
      <c r="F114" s="163">
        <f t="shared" si="29"/>
        <v>3129705.1399999997</v>
      </c>
      <c r="G114" s="163">
        <f t="shared" si="30"/>
        <v>3184227.1399999997</v>
      </c>
      <c r="H114" s="167">
        <f t="shared" si="31"/>
        <v>436177.38013355585</v>
      </c>
      <c r="I114" s="317">
        <f t="shared" si="32"/>
        <v>436177.38013355585</v>
      </c>
      <c r="J114" s="162">
        <f t="shared" si="21"/>
        <v>0</v>
      </c>
      <c r="K114" s="162"/>
      <c r="L114" s="335"/>
      <c r="M114" s="162">
        <f t="shared" si="23"/>
        <v>0</v>
      </c>
      <c r="N114" s="335"/>
      <c r="O114" s="162">
        <f t="shared" si="25"/>
        <v>0</v>
      </c>
      <c r="P114" s="162">
        <f t="shared" si="26"/>
        <v>0</v>
      </c>
    </row>
    <row r="115" spans="2:16">
      <c r="B115" s="9" t="str">
        <f t="shared" si="27"/>
        <v/>
      </c>
      <c r="C115" s="157">
        <f>IF(D93="","-",+C114+1)</f>
        <v>2025</v>
      </c>
      <c r="D115" s="158">
        <f>IF(F114+SUM(E$99:E114)=D$92,F114,D$92-SUM(E$99:E114))</f>
        <v>3129705.1399999997</v>
      </c>
      <c r="E115" s="165">
        <f>IF(+J96&lt;F114,J96,D115)</f>
        <v>109044</v>
      </c>
      <c r="F115" s="163">
        <f t="shared" si="29"/>
        <v>3020661.1399999997</v>
      </c>
      <c r="G115" s="163">
        <f t="shared" si="30"/>
        <v>3075183.1399999997</v>
      </c>
      <c r="H115" s="167">
        <f t="shared" si="31"/>
        <v>424974.68298448145</v>
      </c>
      <c r="I115" s="317">
        <f t="shared" si="32"/>
        <v>424974.68298448145</v>
      </c>
      <c r="J115" s="162">
        <f t="shared" si="21"/>
        <v>0</v>
      </c>
      <c r="K115" s="162"/>
      <c r="L115" s="335"/>
      <c r="M115" s="162">
        <f t="shared" si="23"/>
        <v>0</v>
      </c>
      <c r="N115" s="335"/>
      <c r="O115" s="162">
        <f t="shared" si="25"/>
        <v>0</v>
      </c>
      <c r="P115" s="162">
        <f t="shared" si="26"/>
        <v>0</v>
      </c>
    </row>
    <row r="116" spans="2:16">
      <c r="B116" s="9" t="str">
        <f t="shared" si="27"/>
        <v/>
      </c>
      <c r="C116" s="157">
        <f>IF(D93="","-",+C115+1)</f>
        <v>2026</v>
      </c>
      <c r="D116" s="158">
        <f>IF(F115+SUM(E$99:E115)=D$92,F115,D$92-SUM(E$99:E115))</f>
        <v>3020661.1399999997</v>
      </c>
      <c r="E116" s="165">
        <f>IF(+J96&lt;F115,J96,D116)</f>
        <v>109044</v>
      </c>
      <c r="F116" s="163">
        <f t="shared" si="29"/>
        <v>2911617.1399999997</v>
      </c>
      <c r="G116" s="163">
        <f t="shared" si="30"/>
        <v>2966139.1399999997</v>
      </c>
      <c r="H116" s="167">
        <f t="shared" si="31"/>
        <v>413771.98583540699</v>
      </c>
      <c r="I116" s="317">
        <f t="shared" si="32"/>
        <v>413771.98583540699</v>
      </c>
      <c r="J116" s="162">
        <f t="shared" si="21"/>
        <v>0</v>
      </c>
      <c r="K116" s="162"/>
      <c r="L116" s="335"/>
      <c r="M116" s="162">
        <f t="shared" si="23"/>
        <v>0</v>
      </c>
      <c r="N116" s="335"/>
      <c r="O116" s="162">
        <f t="shared" si="25"/>
        <v>0</v>
      </c>
      <c r="P116" s="162">
        <f t="shared" si="26"/>
        <v>0</v>
      </c>
    </row>
    <row r="117" spans="2:16">
      <c r="B117" s="9" t="str">
        <f t="shared" si="27"/>
        <v/>
      </c>
      <c r="C117" s="157">
        <f>IF(D93="","-",+C116+1)</f>
        <v>2027</v>
      </c>
      <c r="D117" s="158">
        <f>IF(F116+SUM(E$99:E116)=D$92,F116,D$92-SUM(E$99:E116))</f>
        <v>2911617.1399999997</v>
      </c>
      <c r="E117" s="165">
        <f>IF(+J96&lt;F116,J96,D117)</f>
        <v>109044</v>
      </c>
      <c r="F117" s="163">
        <f t="shared" si="29"/>
        <v>2802573.1399999997</v>
      </c>
      <c r="G117" s="163">
        <f t="shared" si="30"/>
        <v>2857095.1399999997</v>
      </c>
      <c r="H117" s="167">
        <f t="shared" si="31"/>
        <v>402569.28868633253</v>
      </c>
      <c r="I117" s="317">
        <f t="shared" si="32"/>
        <v>402569.28868633253</v>
      </c>
      <c r="J117" s="162">
        <f t="shared" si="21"/>
        <v>0</v>
      </c>
      <c r="K117" s="162"/>
      <c r="L117" s="335"/>
      <c r="M117" s="162">
        <f t="shared" si="23"/>
        <v>0</v>
      </c>
      <c r="N117" s="335"/>
      <c r="O117" s="162">
        <f t="shared" si="25"/>
        <v>0</v>
      </c>
      <c r="P117" s="162">
        <f t="shared" si="26"/>
        <v>0</v>
      </c>
    </row>
    <row r="118" spans="2:16">
      <c r="B118" s="9" t="str">
        <f t="shared" si="27"/>
        <v/>
      </c>
      <c r="C118" s="157">
        <f>IF(D93="","-",+C117+1)</f>
        <v>2028</v>
      </c>
      <c r="D118" s="158">
        <f>IF(F117+SUM(E$99:E117)=D$92,F117,D$92-SUM(E$99:E117))</f>
        <v>2802573.1399999997</v>
      </c>
      <c r="E118" s="165">
        <f>IF(+J96&lt;F117,J96,D118)</f>
        <v>109044</v>
      </c>
      <c r="F118" s="163">
        <f t="shared" si="29"/>
        <v>2693529.1399999997</v>
      </c>
      <c r="G118" s="163">
        <f t="shared" si="30"/>
        <v>2748051.1399999997</v>
      </c>
      <c r="H118" s="167">
        <f t="shared" si="31"/>
        <v>391366.59153725812</v>
      </c>
      <c r="I118" s="317">
        <f t="shared" si="32"/>
        <v>391366.59153725812</v>
      </c>
      <c r="J118" s="162">
        <f t="shared" si="21"/>
        <v>0</v>
      </c>
      <c r="K118" s="162"/>
      <c r="L118" s="335"/>
      <c r="M118" s="162">
        <f t="shared" si="23"/>
        <v>0</v>
      </c>
      <c r="N118" s="335"/>
      <c r="O118" s="162">
        <f t="shared" si="25"/>
        <v>0</v>
      </c>
      <c r="P118" s="162">
        <f t="shared" si="26"/>
        <v>0</v>
      </c>
    </row>
    <row r="119" spans="2:16">
      <c r="B119" s="9" t="str">
        <f t="shared" si="27"/>
        <v/>
      </c>
      <c r="C119" s="157">
        <f>IF(D93="","-",+C118+1)</f>
        <v>2029</v>
      </c>
      <c r="D119" s="158">
        <f>IF(F118+SUM(E$99:E118)=D$92,F118,D$92-SUM(E$99:E118))</f>
        <v>2693529.1399999997</v>
      </c>
      <c r="E119" s="165">
        <f>IF(+J96&lt;F118,J96,D119)</f>
        <v>109044</v>
      </c>
      <c r="F119" s="163">
        <f t="shared" si="29"/>
        <v>2584485.1399999997</v>
      </c>
      <c r="G119" s="163">
        <f t="shared" si="30"/>
        <v>2639007.1399999997</v>
      </c>
      <c r="H119" s="167">
        <f t="shared" si="31"/>
        <v>380163.89438818366</v>
      </c>
      <c r="I119" s="317">
        <f t="shared" si="32"/>
        <v>380163.89438818366</v>
      </c>
      <c r="J119" s="162">
        <f t="shared" si="21"/>
        <v>0</v>
      </c>
      <c r="K119" s="162"/>
      <c r="L119" s="335"/>
      <c r="M119" s="162">
        <f t="shared" si="23"/>
        <v>0</v>
      </c>
      <c r="N119" s="335"/>
      <c r="O119" s="162">
        <f t="shared" si="25"/>
        <v>0</v>
      </c>
      <c r="P119" s="162">
        <f t="shared" si="26"/>
        <v>0</v>
      </c>
    </row>
    <row r="120" spans="2:16">
      <c r="B120" s="9" t="str">
        <f t="shared" si="27"/>
        <v/>
      </c>
      <c r="C120" s="157">
        <f>IF(D93="","-",+C119+1)</f>
        <v>2030</v>
      </c>
      <c r="D120" s="158">
        <f>IF(F119+SUM(E$99:E119)=D$92,F119,D$92-SUM(E$99:E119))</f>
        <v>2584485.1399999997</v>
      </c>
      <c r="E120" s="165">
        <f>IF(+J96&lt;F119,J96,D120)</f>
        <v>109044</v>
      </c>
      <c r="F120" s="163">
        <f t="shared" si="29"/>
        <v>2475441.1399999997</v>
      </c>
      <c r="G120" s="163">
        <f t="shared" si="30"/>
        <v>2529963.1399999997</v>
      </c>
      <c r="H120" s="167">
        <f t="shared" si="31"/>
        <v>368961.1972391092</v>
      </c>
      <c r="I120" s="317">
        <f t="shared" si="32"/>
        <v>368961.1972391092</v>
      </c>
      <c r="J120" s="162">
        <f t="shared" si="21"/>
        <v>0</v>
      </c>
      <c r="K120" s="162"/>
      <c r="L120" s="335"/>
      <c r="M120" s="162">
        <f t="shared" si="23"/>
        <v>0</v>
      </c>
      <c r="N120" s="335"/>
      <c r="O120" s="162">
        <f t="shared" si="25"/>
        <v>0</v>
      </c>
      <c r="P120" s="162">
        <f t="shared" si="26"/>
        <v>0</v>
      </c>
    </row>
    <row r="121" spans="2:16">
      <c r="B121" s="9" t="str">
        <f t="shared" si="27"/>
        <v/>
      </c>
      <c r="C121" s="157">
        <f>IF(D93="","-",+C120+1)</f>
        <v>2031</v>
      </c>
      <c r="D121" s="158">
        <f>IF(F120+SUM(E$99:E120)=D$92,F120,D$92-SUM(E$99:E120))</f>
        <v>2475441.1399999997</v>
      </c>
      <c r="E121" s="165">
        <f>IF(+J96&lt;F120,J96,D121)</f>
        <v>109044</v>
      </c>
      <c r="F121" s="163">
        <f t="shared" si="29"/>
        <v>2366397.1399999997</v>
      </c>
      <c r="G121" s="163">
        <f t="shared" si="30"/>
        <v>2420919.1399999997</v>
      </c>
      <c r="H121" s="167">
        <f t="shared" si="31"/>
        <v>357758.50009003479</v>
      </c>
      <c r="I121" s="317">
        <f t="shared" si="32"/>
        <v>357758.50009003479</v>
      </c>
      <c r="J121" s="162">
        <f t="shared" si="21"/>
        <v>0</v>
      </c>
      <c r="K121" s="162"/>
      <c r="L121" s="335"/>
      <c r="M121" s="162">
        <f t="shared" si="23"/>
        <v>0</v>
      </c>
      <c r="N121" s="335"/>
      <c r="O121" s="162">
        <f t="shared" si="25"/>
        <v>0</v>
      </c>
      <c r="P121" s="162">
        <f t="shared" si="26"/>
        <v>0</v>
      </c>
    </row>
    <row r="122" spans="2:16">
      <c r="B122" s="9" t="str">
        <f t="shared" si="27"/>
        <v/>
      </c>
      <c r="C122" s="157">
        <f>IF(D93="","-",+C121+1)</f>
        <v>2032</v>
      </c>
      <c r="D122" s="158">
        <f>IF(F121+SUM(E$99:E121)=D$92,F121,D$92-SUM(E$99:E121))</f>
        <v>2366397.1399999997</v>
      </c>
      <c r="E122" s="165">
        <f>IF(+J96&lt;F121,J96,D122)</f>
        <v>109044</v>
      </c>
      <c r="F122" s="163">
        <f t="shared" si="29"/>
        <v>2257353.1399999997</v>
      </c>
      <c r="G122" s="163">
        <f t="shared" si="30"/>
        <v>2311875.1399999997</v>
      </c>
      <c r="H122" s="167">
        <f t="shared" si="31"/>
        <v>346555.80294096033</v>
      </c>
      <c r="I122" s="317">
        <f t="shared" si="32"/>
        <v>346555.80294096033</v>
      </c>
      <c r="J122" s="162">
        <f t="shared" si="21"/>
        <v>0</v>
      </c>
      <c r="K122" s="162"/>
      <c r="L122" s="335"/>
      <c r="M122" s="162">
        <f t="shared" si="23"/>
        <v>0</v>
      </c>
      <c r="N122" s="335"/>
      <c r="O122" s="162">
        <f t="shared" si="25"/>
        <v>0</v>
      </c>
      <c r="P122" s="162">
        <f t="shared" si="26"/>
        <v>0</v>
      </c>
    </row>
    <row r="123" spans="2:16">
      <c r="B123" s="9" t="str">
        <f t="shared" si="27"/>
        <v/>
      </c>
      <c r="C123" s="157">
        <f>IF(D93="","-",+C122+1)</f>
        <v>2033</v>
      </c>
      <c r="D123" s="158">
        <f>IF(F122+SUM(E$99:E122)=D$92,F122,D$92-SUM(E$99:E122))</f>
        <v>2257353.1399999997</v>
      </c>
      <c r="E123" s="165">
        <f>IF(+J96&lt;F122,J96,D123)</f>
        <v>109044</v>
      </c>
      <c r="F123" s="163">
        <f t="shared" si="29"/>
        <v>2148309.1399999997</v>
      </c>
      <c r="G123" s="163">
        <f t="shared" si="30"/>
        <v>2202831.1399999997</v>
      </c>
      <c r="H123" s="167">
        <f t="shared" si="31"/>
        <v>335353.10579188587</v>
      </c>
      <c r="I123" s="317">
        <f t="shared" si="32"/>
        <v>335353.10579188587</v>
      </c>
      <c r="J123" s="162">
        <f t="shared" si="21"/>
        <v>0</v>
      </c>
      <c r="K123" s="162"/>
      <c r="L123" s="335"/>
      <c r="M123" s="162">
        <f t="shared" si="23"/>
        <v>0</v>
      </c>
      <c r="N123" s="335"/>
      <c r="O123" s="162">
        <f t="shared" si="25"/>
        <v>0</v>
      </c>
      <c r="P123" s="162">
        <f t="shared" si="26"/>
        <v>0</v>
      </c>
    </row>
    <row r="124" spans="2:16">
      <c r="B124" s="9" t="str">
        <f t="shared" si="27"/>
        <v/>
      </c>
      <c r="C124" s="157">
        <f>IF(D93="","-",+C123+1)</f>
        <v>2034</v>
      </c>
      <c r="D124" s="158">
        <f>IF(F123+SUM(E$99:E123)=D$92,F123,D$92-SUM(E$99:E123))</f>
        <v>2148309.1399999997</v>
      </c>
      <c r="E124" s="165">
        <f>IF(+J96&lt;F123,J96,D124)</f>
        <v>109044</v>
      </c>
      <c r="F124" s="163">
        <f t="shared" si="29"/>
        <v>2039265.1399999997</v>
      </c>
      <c r="G124" s="163">
        <f t="shared" si="30"/>
        <v>2093787.1399999997</v>
      </c>
      <c r="H124" s="167">
        <f t="shared" si="31"/>
        <v>324150.40864281147</v>
      </c>
      <c r="I124" s="317">
        <f t="shared" si="32"/>
        <v>324150.40864281147</v>
      </c>
      <c r="J124" s="162">
        <f t="shared" si="21"/>
        <v>0</v>
      </c>
      <c r="K124" s="162"/>
      <c r="L124" s="335"/>
      <c r="M124" s="162">
        <f t="shared" si="23"/>
        <v>0</v>
      </c>
      <c r="N124" s="335"/>
      <c r="O124" s="162">
        <f t="shared" si="25"/>
        <v>0</v>
      </c>
      <c r="P124" s="162">
        <f t="shared" si="26"/>
        <v>0</v>
      </c>
    </row>
    <row r="125" spans="2:16">
      <c r="B125" s="9" t="str">
        <f t="shared" si="27"/>
        <v/>
      </c>
      <c r="C125" s="157">
        <f>IF(D93="","-",+C124+1)</f>
        <v>2035</v>
      </c>
      <c r="D125" s="158">
        <f>IF(F124+SUM(E$99:E124)=D$92,F124,D$92-SUM(E$99:E124))</f>
        <v>2039265.1399999997</v>
      </c>
      <c r="E125" s="165">
        <f>IF(+J96&lt;F124,J96,D125)</f>
        <v>109044</v>
      </c>
      <c r="F125" s="163">
        <f t="shared" si="29"/>
        <v>1930221.1399999997</v>
      </c>
      <c r="G125" s="163">
        <f t="shared" si="30"/>
        <v>1984743.1399999997</v>
      </c>
      <c r="H125" s="167">
        <f t="shared" si="31"/>
        <v>312947.71149373701</v>
      </c>
      <c r="I125" s="317">
        <f t="shared" si="32"/>
        <v>312947.71149373701</v>
      </c>
      <c r="J125" s="162">
        <f t="shared" si="21"/>
        <v>0</v>
      </c>
      <c r="K125" s="162"/>
      <c r="L125" s="335"/>
      <c r="M125" s="162">
        <f t="shared" si="23"/>
        <v>0</v>
      </c>
      <c r="N125" s="335"/>
      <c r="O125" s="162">
        <f t="shared" si="25"/>
        <v>0</v>
      </c>
      <c r="P125" s="162">
        <f t="shared" si="26"/>
        <v>0</v>
      </c>
    </row>
    <row r="126" spans="2:16">
      <c r="B126" s="9" t="str">
        <f t="shared" si="27"/>
        <v/>
      </c>
      <c r="C126" s="157">
        <f>IF(D93="","-",+C125+1)</f>
        <v>2036</v>
      </c>
      <c r="D126" s="158">
        <f>IF(F125+SUM(E$99:E125)=D$92,F125,D$92-SUM(E$99:E125))</f>
        <v>1930221.1399999997</v>
      </c>
      <c r="E126" s="165">
        <f>IF(+J96&lt;F125,J96,D126)</f>
        <v>109044</v>
      </c>
      <c r="F126" s="163">
        <f t="shared" si="29"/>
        <v>1821177.1399999997</v>
      </c>
      <c r="G126" s="163">
        <f t="shared" si="30"/>
        <v>1875699.1399999997</v>
      </c>
      <c r="H126" s="167">
        <f t="shared" si="31"/>
        <v>301745.01434466254</v>
      </c>
      <c r="I126" s="317">
        <f t="shared" si="32"/>
        <v>301745.01434466254</v>
      </c>
      <c r="J126" s="162">
        <f t="shared" si="21"/>
        <v>0</v>
      </c>
      <c r="K126" s="162"/>
      <c r="L126" s="335"/>
      <c r="M126" s="162">
        <f t="shared" si="23"/>
        <v>0</v>
      </c>
      <c r="N126" s="335"/>
      <c r="O126" s="162">
        <f t="shared" si="25"/>
        <v>0</v>
      </c>
      <c r="P126" s="162">
        <f t="shared" si="26"/>
        <v>0</v>
      </c>
    </row>
    <row r="127" spans="2:16">
      <c r="B127" s="9" t="str">
        <f t="shared" si="27"/>
        <v/>
      </c>
      <c r="C127" s="157">
        <f>IF(D93="","-",+C126+1)</f>
        <v>2037</v>
      </c>
      <c r="D127" s="158">
        <f>IF(F126+SUM(E$99:E126)=D$92,F126,D$92-SUM(E$99:E126))</f>
        <v>1821177.1399999997</v>
      </c>
      <c r="E127" s="165">
        <f>IF(+J96&lt;F126,J96,D127)</f>
        <v>109044</v>
      </c>
      <c r="F127" s="163">
        <f t="shared" si="29"/>
        <v>1712133.1399999997</v>
      </c>
      <c r="G127" s="163">
        <f t="shared" si="30"/>
        <v>1766655.1399999997</v>
      </c>
      <c r="H127" s="167">
        <f t="shared" si="31"/>
        <v>290542.31719558814</v>
      </c>
      <c r="I127" s="317">
        <f t="shared" si="32"/>
        <v>290542.31719558814</v>
      </c>
      <c r="J127" s="162">
        <f t="shared" si="21"/>
        <v>0</v>
      </c>
      <c r="K127" s="162"/>
      <c r="L127" s="335"/>
      <c r="M127" s="162">
        <f t="shared" si="23"/>
        <v>0</v>
      </c>
      <c r="N127" s="335"/>
      <c r="O127" s="162">
        <f t="shared" si="25"/>
        <v>0</v>
      </c>
      <c r="P127" s="162">
        <f t="shared" si="26"/>
        <v>0</v>
      </c>
    </row>
    <row r="128" spans="2:16">
      <c r="B128" s="9" t="str">
        <f t="shared" si="27"/>
        <v/>
      </c>
      <c r="C128" s="157">
        <f>IF(D93="","-",+C127+1)</f>
        <v>2038</v>
      </c>
      <c r="D128" s="158">
        <f>IF(F127+SUM(E$99:E127)=D$92,F127,D$92-SUM(E$99:E127))</f>
        <v>1712133.1399999997</v>
      </c>
      <c r="E128" s="165">
        <f>IF(+J96&lt;F127,J96,D128)</f>
        <v>109044</v>
      </c>
      <c r="F128" s="163">
        <f t="shared" si="29"/>
        <v>1603089.1399999997</v>
      </c>
      <c r="G128" s="163">
        <f t="shared" si="30"/>
        <v>1657611.1399999997</v>
      </c>
      <c r="H128" s="167">
        <f t="shared" si="31"/>
        <v>279339.62004651362</v>
      </c>
      <c r="I128" s="317">
        <f t="shared" si="32"/>
        <v>279339.62004651362</v>
      </c>
      <c r="J128" s="162">
        <f t="shared" si="21"/>
        <v>0</v>
      </c>
      <c r="K128" s="162"/>
      <c r="L128" s="335"/>
      <c r="M128" s="162">
        <f t="shared" si="23"/>
        <v>0</v>
      </c>
      <c r="N128" s="335"/>
      <c r="O128" s="162">
        <f t="shared" si="25"/>
        <v>0</v>
      </c>
      <c r="P128" s="162">
        <f t="shared" si="26"/>
        <v>0</v>
      </c>
    </row>
    <row r="129" spans="2:16">
      <c r="B129" s="9" t="str">
        <f t="shared" si="27"/>
        <v/>
      </c>
      <c r="C129" s="157">
        <f>IF(D93="","-",+C128+1)</f>
        <v>2039</v>
      </c>
      <c r="D129" s="158">
        <f>IF(F128+SUM(E$99:E128)=D$92,F128,D$92-SUM(E$99:E128))</f>
        <v>1603089.1399999997</v>
      </c>
      <c r="E129" s="165">
        <f>IF(+J96&lt;F128,J96,D129)</f>
        <v>109044</v>
      </c>
      <c r="F129" s="163">
        <f t="shared" si="29"/>
        <v>1494045.1399999997</v>
      </c>
      <c r="G129" s="163">
        <f t="shared" si="30"/>
        <v>1548567.1399999997</v>
      </c>
      <c r="H129" s="167">
        <f t="shared" si="31"/>
        <v>268136.92289743922</v>
      </c>
      <c r="I129" s="317">
        <f t="shared" si="32"/>
        <v>268136.92289743922</v>
      </c>
      <c r="J129" s="162">
        <f t="shared" si="21"/>
        <v>0</v>
      </c>
      <c r="K129" s="162"/>
      <c r="L129" s="335"/>
      <c r="M129" s="162">
        <f t="shared" si="23"/>
        <v>0</v>
      </c>
      <c r="N129" s="335"/>
      <c r="O129" s="162">
        <f t="shared" si="25"/>
        <v>0</v>
      </c>
      <c r="P129" s="162">
        <f t="shared" si="26"/>
        <v>0</v>
      </c>
    </row>
    <row r="130" spans="2:16">
      <c r="B130" s="9" t="str">
        <f t="shared" si="27"/>
        <v/>
      </c>
      <c r="C130" s="157">
        <f>IF(D93="","-",+C129+1)</f>
        <v>2040</v>
      </c>
      <c r="D130" s="158">
        <f>IF(F129+SUM(E$99:E129)=D$92,F129,D$92-SUM(E$99:E129))</f>
        <v>1494045.1399999997</v>
      </c>
      <c r="E130" s="165">
        <f>IF(+J96&lt;F129,J96,D130)</f>
        <v>109044</v>
      </c>
      <c r="F130" s="163">
        <f t="shared" si="29"/>
        <v>1385001.1399999997</v>
      </c>
      <c r="G130" s="163">
        <f t="shared" si="30"/>
        <v>1439523.1399999997</v>
      </c>
      <c r="H130" s="167">
        <f t="shared" si="31"/>
        <v>256934.22574836478</v>
      </c>
      <c r="I130" s="317">
        <f t="shared" si="32"/>
        <v>256934.22574836478</v>
      </c>
      <c r="J130" s="162">
        <f t="shared" si="21"/>
        <v>0</v>
      </c>
      <c r="K130" s="162"/>
      <c r="L130" s="335"/>
      <c r="M130" s="162">
        <f t="shared" si="23"/>
        <v>0</v>
      </c>
      <c r="N130" s="335"/>
      <c r="O130" s="162">
        <f t="shared" si="25"/>
        <v>0</v>
      </c>
      <c r="P130" s="162">
        <f t="shared" si="26"/>
        <v>0</v>
      </c>
    </row>
    <row r="131" spans="2:16">
      <c r="B131" s="9" t="str">
        <f t="shared" si="27"/>
        <v/>
      </c>
      <c r="C131" s="157">
        <f>IF(D93="","-",+C130+1)</f>
        <v>2041</v>
      </c>
      <c r="D131" s="158">
        <f>IF(F130+SUM(E$99:E130)=D$92,F130,D$92-SUM(E$99:E130))</f>
        <v>1385001.1399999997</v>
      </c>
      <c r="E131" s="165">
        <f>IF(+J96&lt;F130,J96,D131)</f>
        <v>109044</v>
      </c>
      <c r="F131" s="163">
        <f t="shared" ref="F131:F154" si="33">+D131-E131</f>
        <v>1275957.1399999997</v>
      </c>
      <c r="G131" s="163">
        <f t="shared" ref="G131:G154" si="34">+(F131+D131)/2</f>
        <v>1330479.1399999997</v>
      </c>
      <c r="H131" s="167">
        <f t="shared" si="31"/>
        <v>245731.52859929032</v>
      </c>
      <c r="I131" s="317">
        <f t="shared" si="32"/>
        <v>245731.52859929032</v>
      </c>
      <c r="J131" s="162">
        <f t="shared" ref="J131:J154" si="35">+I131-H131</f>
        <v>0</v>
      </c>
      <c r="K131" s="162"/>
      <c r="L131" s="335"/>
      <c r="M131" s="162">
        <f t="shared" ref="M131:M154" si="36">IF(L131&lt;&gt;0,+H131-L131,0)</f>
        <v>0</v>
      </c>
      <c r="N131" s="335"/>
      <c r="O131" s="162">
        <f t="shared" ref="O131:O154" si="37">IF(N131&lt;&gt;0,+I131-N131,0)</f>
        <v>0</v>
      </c>
      <c r="P131" s="162">
        <f t="shared" ref="P131:P154" si="38">+O131-M131</f>
        <v>0</v>
      </c>
    </row>
    <row r="132" spans="2:16">
      <c r="B132" s="9" t="str">
        <f t="shared" si="27"/>
        <v/>
      </c>
      <c r="C132" s="157">
        <f>IF(D93="","-",+C131+1)</f>
        <v>2042</v>
      </c>
      <c r="D132" s="158">
        <f>IF(F131+SUM(E$99:E131)=D$92,F131,D$92-SUM(E$99:E131))</f>
        <v>1275957.1399999997</v>
      </c>
      <c r="E132" s="165">
        <f>IF(+J96&lt;F131,J96,D132)</f>
        <v>109044</v>
      </c>
      <c r="F132" s="163">
        <f t="shared" si="33"/>
        <v>1166913.1399999997</v>
      </c>
      <c r="G132" s="163">
        <f t="shared" si="34"/>
        <v>1221435.1399999997</v>
      </c>
      <c r="H132" s="167">
        <f t="shared" si="31"/>
        <v>234528.83145021589</v>
      </c>
      <c r="I132" s="317">
        <f t="shared" si="32"/>
        <v>234528.83145021589</v>
      </c>
      <c r="J132" s="162">
        <f t="shared" si="35"/>
        <v>0</v>
      </c>
      <c r="K132" s="162"/>
      <c r="L132" s="335"/>
      <c r="M132" s="162">
        <f t="shared" si="36"/>
        <v>0</v>
      </c>
      <c r="N132" s="335"/>
      <c r="O132" s="162">
        <f t="shared" si="37"/>
        <v>0</v>
      </c>
      <c r="P132" s="162">
        <f t="shared" si="38"/>
        <v>0</v>
      </c>
    </row>
    <row r="133" spans="2:16">
      <c r="B133" s="9" t="str">
        <f t="shared" si="27"/>
        <v/>
      </c>
      <c r="C133" s="157">
        <f>IF(D93="","-",+C132+1)</f>
        <v>2043</v>
      </c>
      <c r="D133" s="158">
        <f>IF(F132+SUM(E$99:E132)=D$92,F132,D$92-SUM(E$99:E132))</f>
        <v>1166913.1399999997</v>
      </c>
      <c r="E133" s="165">
        <f>IF(+J96&lt;F132,J96,D133)</f>
        <v>109044</v>
      </c>
      <c r="F133" s="163">
        <f t="shared" si="33"/>
        <v>1057869.1399999997</v>
      </c>
      <c r="G133" s="163">
        <f t="shared" si="34"/>
        <v>1112391.1399999997</v>
      </c>
      <c r="H133" s="167">
        <f t="shared" si="31"/>
        <v>223326.13430114143</v>
      </c>
      <c r="I133" s="317">
        <f t="shared" si="32"/>
        <v>223326.13430114143</v>
      </c>
      <c r="J133" s="162">
        <f t="shared" si="35"/>
        <v>0</v>
      </c>
      <c r="K133" s="162"/>
      <c r="L133" s="335"/>
      <c r="M133" s="162">
        <f t="shared" si="36"/>
        <v>0</v>
      </c>
      <c r="N133" s="335"/>
      <c r="O133" s="162">
        <f t="shared" si="37"/>
        <v>0</v>
      </c>
      <c r="P133" s="162">
        <f t="shared" si="38"/>
        <v>0</v>
      </c>
    </row>
    <row r="134" spans="2:16">
      <c r="B134" s="9" t="str">
        <f t="shared" si="27"/>
        <v/>
      </c>
      <c r="C134" s="157">
        <f>IF(D93="","-",+C133+1)</f>
        <v>2044</v>
      </c>
      <c r="D134" s="158">
        <f>IF(F133+SUM(E$99:E133)=D$92,F133,D$92-SUM(E$99:E133))</f>
        <v>1057869.1399999997</v>
      </c>
      <c r="E134" s="165">
        <f>IF(+J96&lt;F133,J96,D134)</f>
        <v>109044</v>
      </c>
      <c r="F134" s="163">
        <f t="shared" si="33"/>
        <v>948825.13999999966</v>
      </c>
      <c r="G134" s="163">
        <f t="shared" si="34"/>
        <v>1003347.1399999997</v>
      </c>
      <c r="H134" s="167">
        <f t="shared" si="31"/>
        <v>212123.437152067</v>
      </c>
      <c r="I134" s="317">
        <f t="shared" si="32"/>
        <v>212123.437152067</v>
      </c>
      <c r="J134" s="162">
        <f t="shared" si="35"/>
        <v>0</v>
      </c>
      <c r="K134" s="162"/>
      <c r="L134" s="335"/>
      <c r="M134" s="162">
        <f t="shared" si="36"/>
        <v>0</v>
      </c>
      <c r="N134" s="335"/>
      <c r="O134" s="162">
        <f t="shared" si="37"/>
        <v>0</v>
      </c>
      <c r="P134" s="162">
        <f t="shared" si="38"/>
        <v>0</v>
      </c>
    </row>
    <row r="135" spans="2:16">
      <c r="B135" s="9" t="str">
        <f t="shared" si="27"/>
        <v/>
      </c>
      <c r="C135" s="157">
        <f>IF(D93="","-",+C134+1)</f>
        <v>2045</v>
      </c>
      <c r="D135" s="158">
        <f>IF(F134+SUM(E$99:E134)=D$92,F134,D$92-SUM(E$99:E134))</f>
        <v>948825.13999999966</v>
      </c>
      <c r="E135" s="165">
        <f>IF(+J96&lt;F134,J96,D135)</f>
        <v>109044</v>
      </c>
      <c r="F135" s="163">
        <f t="shared" si="33"/>
        <v>839781.13999999966</v>
      </c>
      <c r="G135" s="163">
        <f t="shared" si="34"/>
        <v>894303.13999999966</v>
      </c>
      <c r="H135" s="167">
        <f t="shared" si="31"/>
        <v>200920.74000299256</v>
      </c>
      <c r="I135" s="317">
        <f t="shared" si="32"/>
        <v>200920.74000299256</v>
      </c>
      <c r="J135" s="162">
        <f t="shared" si="35"/>
        <v>0</v>
      </c>
      <c r="K135" s="162"/>
      <c r="L135" s="335"/>
      <c r="M135" s="162">
        <f t="shared" si="36"/>
        <v>0</v>
      </c>
      <c r="N135" s="335"/>
      <c r="O135" s="162">
        <f t="shared" si="37"/>
        <v>0</v>
      </c>
      <c r="P135" s="162">
        <f t="shared" si="38"/>
        <v>0</v>
      </c>
    </row>
    <row r="136" spans="2:16">
      <c r="B136" s="9" t="str">
        <f t="shared" si="27"/>
        <v/>
      </c>
      <c r="C136" s="157">
        <f>IF(D93="","-",+C135+1)</f>
        <v>2046</v>
      </c>
      <c r="D136" s="158">
        <f>IF(F135+SUM(E$99:E135)=D$92,F135,D$92-SUM(E$99:E135))</f>
        <v>839781.13999999966</v>
      </c>
      <c r="E136" s="165">
        <f>IF(+J96&lt;F135,J96,D136)</f>
        <v>109044</v>
      </c>
      <c r="F136" s="163">
        <f t="shared" si="33"/>
        <v>730737.13999999966</v>
      </c>
      <c r="G136" s="163">
        <f t="shared" si="34"/>
        <v>785259.13999999966</v>
      </c>
      <c r="H136" s="167">
        <f t="shared" si="31"/>
        <v>189718.0428539181</v>
      </c>
      <c r="I136" s="317">
        <f t="shared" si="32"/>
        <v>189718.0428539181</v>
      </c>
      <c r="J136" s="162">
        <f t="shared" si="35"/>
        <v>0</v>
      </c>
      <c r="K136" s="162"/>
      <c r="L136" s="335"/>
      <c r="M136" s="162">
        <f t="shared" si="36"/>
        <v>0</v>
      </c>
      <c r="N136" s="335"/>
      <c r="O136" s="162">
        <f t="shared" si="37"/>
        <v>0</v>
      </c>
      <c r="P136" s="162">
        <f t="shared" si="38"/>
        <v>0</v>
      </c>
    </row>
    <row r="137" spans="2:16">
      <c r="B137" s="9" t="str">
        <f t="shared" si="27"/>
        <v/>
      </c>
      <c r="C137" s="157">
        <f>IF(D93="","-",+C136+1)</f>
        <v>2047</v>
      </c>
      <c r="D137" s="158">
        <f>IF(F136+SUM(E$99:E136)=D$92,F136,D$92-SUM(E$99:E136))</f>
        <v>730737.13999999966</v>
      </c>
      <c r="E137" s="165">
        <f>IF(+J96&lt;F136,J96,D137)</f>
        <v>109044</v>
      </c>
      <c r="F137" s="163">
        <f t="shared" si="33"/>
        <v>621693.13999999966</v>
      </c>
      <c r="G137" s="163">
        <f t="shared" si="34"/>
        <v>676215.13999999966</v>
      </c>
      <c r="H137" s="167">
        <f t="shared" si="31"/>
        <v>178515.34570484367</v>
      </c>
      <c r="I137" s="317">
        <f t="shared" si="32"/>
        <v>178515.34570484367</v>
      </c>
      <c r="J137" s="162">
        <f t="shared" si="35"/>
        <v>0</v>
      </c>
      <c r="K137" s="162"/>
      <c r="L137" s="335"/>
      <c r="M137" s="162">
        <f t="shared" si="36"/>
        <v>0</v>
      </c>
      <c r="N137" s="335"/>
      <c r="O137" s="162">
        <f t="shared" si="37"/>
        <v>0</v>
      </c>
      <c r="P137" s="162">
        <f t="shared" si="38"/>
        <v>0</v>
      </c>
    </row>
    <row r="138" spans="2:16">
      <c r="B138" s="9" t="str">
        <f t="shared" si="27"/>
        <v/>
      </c>
      <c r="C138" s="157">
        <f>IF(D93="","-",+C137+1)</f>
        <v>2048</v>
      </c>
      <c r="D138" s="158">
        <f>IF(F137+SUM(E$99:E137)=D$92,F137,D$92-SUM(E$99:E137))</f>
        <v>621693.13999999966</v>
      </c>
      <c r="E138" s="165">
        <f>IF(+J96&lt;F137,J96,D138)</f>
        <v>109044</v>
      </c>
      <c r="F138" s="163">
        <f t="shared" si="33"/>
        <v>512649.13999999966</v>
      </c>
      <c r="G138" s="163">
        <f t="shared" si="34"/>
        <v>567171.13999999966</v>
      </c>
      <c r="H138" s="167">
        <f t="shared" si="31"/>
        <v>167312.64855576924</v>
      </c>
      <c r="I138" s="317">
        <f t="shared" si="32"/>
        <v>167312.64855576924</v>
      </c>
      <c r="J138" s="162">
        <f t="shared" si="35"/>
        <v>0</v>
      </c>
      <c r="K138" s="162"/>
      <c r="L138" s="335"/>
      <c r="M138" s="162">
        <f t="shared" si="36"/>
        <v>0</v>
      </c>
      <c r="N138" s="335"/>
      <c r="O138" s="162">
        <f t="shared" si="37"/>
        <v>0</v>
      </c>
      <c r="P138" s="162">
        <f t="shared" si="38"/>
        <v>0</v>
      </c>
    </row>
    <row r="139" spans="2:16">
      <c r="B139" s="9" t="str">
        <f t="shared" si="27"/>
        <v/>
      </c>
      <c r="C139" s="157">
        <f>IF(D93="","-",+C138+1)</f>
        <v>2049</v>
      </c>
      <c r="D139" s="158">
        <f>IF(F138+SUM(E$99:E138)=D$92,F138,D$92-SUM(E$99:E138))</f>
        <v>512649.13999999966</v>
      </c>
      <c r="E139" s="165">
        <f>IF(+J96&lt;F138,J96,D139)</f>
        <v>109044</v>
      </c>
      <c r="F139" s="163">
        <f t="shared" si="33"/>
        <v>403605.13999999966</v>
      </c>
      <c r="G139" s="163">
        <f t="shared" si="34"/>
        <v>458127.13999999966</v>
      </c>
      <c r="H139" s="167">
        <f t="shared" si="31"/>
        <v>156109.95140669477</v>
      </c>
      <c r="I139" s="317">
        <f t="shared" si="32"/>
        <v>156109.95140669477</v>
      </c>
      <c r="J139" s="162">
        <f t="shared" si="35"/>
        <v>0</v>
      </c>
      <c r="K139" s="162"/>
      <c r="L139" s="335"/>
      <c r="M139" s="162">
        <f t="shared" si="36"/>
        <v>0</v>
      </c>
      <c r="N139" s="335"/>
      <c r="O139" s="162">
        <f t="shared" si="37"/>
        <v>0</v>
      </c>
      <c r="P139" s="162">
        <f t="shared" si="38"/>
        <v>0</v>
      </c>
    </row>
    <row r="140" spans="2:16">
      <c r="B140" s="9" t="str">
        <f t="shared" si="27"/>
        <v/>
      </c>
      <c r="C140" s="157">
        <f>IF(D93="","-",+C139+1)</f>
        <v>2050</v>
      </c>
      <c r="D140" s="158">
        <f>IF(F139+SUM(E$99:E139)=D$92,F139,D$92-SUM(E$99:E139))</f>
        <v>403605.13999999966</v>
      </c>
      <c r="E140" s="165">
        <f>IF(+J96&lt;F139,J96,D140)</f>
        <v>109044</v>
      </c>
      <c r="F140" s="163">
        <f t="shared" si="33"/>
        <v>294561.13999999966</v>
      </c>
      <c r="G140" s="163">
        <f t="shared" si="34"/>
        <v>349083.13999999966</v>
      </c>
      <c r="H140" s="167">
        <f t="shared" si="31"/>
        <v>144907.25425762031</v>
      </c>
      <c r="I140" s="317">
        <f t="shared" si="32"/>
        <v>144907.25425762031</v>
      </c>
      <c r="J140" s="162">
        <f t="shared" si="35"/>
        <v>0</v>
      </c>
      <c r="K140" s="162"/>
      <c r="L140" s="335"/>
      <c r="M140" s="162">
        <f t="shared" si="36"/>
        <v>0</v>
      </c>
      <c r="N140" s="335"/>
      <c r="O140" s="162">
        <f t="shared" si="37"/>
        <v>0</v>
      </c>
      <c r="P140" s="162">
        <f t="shared" si="38"/>
        <v>0</v>
      </c>
    </row>
    <row r="141" spans="2:16">
      <c r="B141" s="9" t="str">
        <f t="shared" si="27"/>
        <v/>
      </c>
      <c r="C141" s="157">
        <f>IF(D93="","-",+C140+1)</f>
        <v>2051</v>
      </c>
      <c r="D141" s="158">
        <f>IF(F140+SUM(E$99:E140)=D$92,F140,D$92-SUM(E$99:E140))</f>
        <v>294561.13999999966</v>
      </c>
      <c r="E141" s="165">
        <f>IF(+J96&lt;F140,J96,D141)</f>
        <v>109044</v>
      </c>
      <c r="F141" s="163">
        <f t="shared" si="33"/>
        <v>185517.13999999966</v>
      </c>
      <c r="G141" s="163">
        <f t="shared" si="34"/>
        <v>240039.13999999966</v>
      </c>
      <c r="H141" s="167">
        <f t="shared" si="31"/>
        <v>133704.55710854588</v>
      </c>
      <c r="I141" s="317">
        <f t="shared" si="32"/>
        <v>133704.55710854588</v>
      </c>
      <c r="J141" s="162">
        <f t="shared" si="35"/>
        <v>0</v>
      </c>
      <c r="K141" s="162"/>
      <c r="L141" s="335"/>
      <c r="M141" s="162">
        <f t="shared" si="36"/>
        <v>0</v>
      </c>
      <c r="N141" s="335"/>
      <c r="O141" s="162">
        <f t="shared" si="37"/>
        <v>0</v>
      </c>
      <c r="P141" s="162">
        <f t="shared" si="38"/>
        <v>0</v>
      </c>
    </row>
    <row r="142" spans="2:16">
      <c r="B142" s="9" t="str">
        <f t="shared" si="27"/>
        <v/>
      </c>
      <c r="C142" s="157">
        <f>IF(D93="","-",+C141+1)</f>
        <v>2052</v>
      </c>
      <c r="D142" s="158">
        <f>IF(F141+SUM(E$99:E141)=D$92,F141,D$92-SUM(E$99:E141))</f>
        <v>185517.13999999966</v>
      </c>
      <c r="E142" s="165">
        <f>IF(+J96&lt;F141,J96,D142)</f>
        <v>109044</v>
      </c>
      <c r="F142" s="163">
        <f t="shared" si="33"/>
        <v>76473.139999999665</v>
      </c>
      <c r="G142" s="163">
        <f t="shared" si="34"/>
        <v>130995.13999999966</v>
      </c>
      <c r="H142" s="167">
        <f t="shared" si="31"/>
        <v>122501.85995947145</v>
      </c>
      <c r="I142" s="317">
        <f t="shared" si="32"/>
        <v>122501.85995947145</v>
      </c>
      <c r="J142" s="162">
        <f t="shared" si="35"/>
        <v>0</v>
      </c>
      <c r="K142" s="162"/>
      <c r="L142" s="335"/>
      <c r="M142" s="162">
        <f t="shared" si="36"/>
        <v>0</v>
      </c>
      <c r="N142" s="335"/>
      <c r="O142" s="162">
        <f t="shared" si="37"/>
        <v>0</v>
      </c>
      <c r="P142" s="162">
        <f t="shared" si="38"/>
        <v>0</v>
      </c>
    </row>
    <row r="143" spans="2:16">
      <c r="B143" s="9" t="str">
        <f t="shared" si="27"/>
        <v/>
      </c>
      <c r="C143" s="157">
        <f>IF(D93="","-",+C142+1)</f>
        <v>2053</v>
      </c>
      <c r="D143" s="158">
        <f>IF(F142+SUM(E$99:E142)=D$92,F142,D$92-SUM(E$99:E142))</f>
        <v>76473.139999999665</v>
      </c>
      <c r="E143" s="165">
        <f>IF(+J96&lt;F142,J96,D143)</f>
        <v>76473.139999999665</v>
      </c>
      <c r="F143" s="163">
        <f t="shared" si="33"/>
        <v>0</v>
      </c>
      <c r="G143" s="163">
        <f t="shared" si="34"/>
        <v>38236.569999999832</v>
      </c>
      <c r="H143" s="167">
        <f t="shared" si="31"/>
        <v>80401.395692466773</v>
      </c>
      <c r="I143" s="317">
        <f t="shared" si="32"/>
        <v>80401.395692466773</v>
      </c>
      <c r="J143" s="162">
        <f t="shared" si="35"/>
        <v>0</v>
      </c>
      <c r="K143" s="162"/>
      <c r="L143" s="335"/>
      <c r="M143" s="162">
        <f t="shared" si="36"/>
        <v>0</v>
      </c>
      <c r="N143" s="335"/>
      <c r="O143" s="162">
        <f t="shared" si="37"/>
        <v>0</v>
      </c>
      <c r="P143" s="162">
        <f t="shared" si="38"/>
        <v>0</v>
      </c>
    </row>
    <row r="144" spans="2:16">
      <c r="B144" s="9" t="str">
        <f t="shared" si="27"/>
        <v/>
      </c>
      <c r="C144" s="157">
        <f>IF(D93="","-",+C143+1)</f>
        <v>2054</v>
      </c>
      <c r="D144" s="158">
        <f>IF(F143+SUM(E$99:E143)=D$92,F143,D$92-SUM(E$99:E143))</f>
        <v>0</v>
      </c>
      <c r="E144" s="165">
        <f>IF(+J96&lt;F143,J96,D144)</f>
        <v>0</v>
      </c>
      <c r="F144" s="163">
        <f t="shared" si="33"/>
        <v>0</v>
      </c>
      <c r="G144" s="163">
        <f t="shared" si="34"/>
        <v>0</v>
      </c>
      <c r="H144" s="167">
        <f t="shared" si="31"/>
        <v>0</v>
      </c>
      <c r="I144" s="317">
        <f t="shared" si="32"/>
        <v>0</v>
      </c>
      <c r="J144" s="162">
        <f t="shared" si="35"/>
        <v>0</v>
      </c>
      <c r="K144" s="162"/>
      <c r="L144" s="335"/>
      <c r="M144" s="162">
        <f t="shared" si="36"/>
        <v>0</v>
      </c>
      <c r="N144" s="335"/>
      <c r="O144" s="162">
        <f t="shared" si="37"/>
        <v>0</v>
      </c>
      <c r="P144" s="162">
        <f t="shared" si="38"/>
        <v>0</v>
      </c>
    </row>
    <row r="145" spans="2:16">
      <c r="B145" s="9" t="str">
        <f t="shared" si="27"/>
        <v/>
      </c>
      <c r="C145" s="157">
        <f>IF(D93="","-",+C144+1)</f>
        <v>2055</v>
      </c>
      <c r="D145" s="158">
        <f>IF(F144+SUM(E$99:E144)=D$92,F144,D$92-SUM(E$99:E144))</f>
        <v>0</v>
      </c>
      <c r="E145" s="165">
        <f>IF(+J96&lt;F144,J96,D145)</f>
        <v>0</v>
      </c>
      <c r="F145" s="163">
        <f t="shared" si="33"/>
        <v>0</v>
      </c>
      <c r="G145" s="163">
        <f t="shared" si="34"/>
        <v>0</v>
      </c>
      <c r="H145" s="167">
        <f t="shared" si="31"/>
        <v>0</v>
      </c>
      <c r="I145" s="317">
        <f t="shared" si="32"/>
        <v>0</v>
      </c>
      <c r="J145" s="162">
        <f t="shared" si="35"/>
        <v>0</v>
      </c>
      <c r="K145" s="162"/>
      <c r="L145" s="335"/>
      <c r="M145" s="162">
        <f t="shared" si="36"/>
        <v>0</v>
      </c>
      <c r="N145" s="335"/>
      <c r="O145" s="162">
        <f t="shared" si="37"/>
        <v>0</v>
      </c>
      <c r="P145" s="162">
        <f t="shared" si="38"/>
        <v>0</v>
      </c>
    </row>
    <row r="146" spans="2:16">
      <c r="B146" s="9" t="str">
        <f t="shared" si="27"/>
        <v/>
      </c>
      <c r="C146" s="157">
        <f>IF(D93="","-",+C145+1)</f>
        <v>2056</v>
      </c>
      <c r="D146" s="158">
        <f>IF(F145+SUM(E$99:E145)=D$92,F145,D$92-SUM(E$99:E145))</f>
        <v>0</v>
      </c>
      <c r="E146" s="165">
        <f>IF(+J96&lt;F145,J96,D146)</f>
        <v>0</v>
      </c>
      <c r="F146" s="163">
        <f t="shared" si="33"/>
        <v>0</v>
      </c>
      <c r="G146" s="163">
        <f t="shared" si="34"/>
        <v>0</v>
      </c>
      <c r="H146" s="167">
        <f t="shared" si="31"/>
        <v>0</v>
      </c>
      <c r="I146" s="317">
        <f t="shared" si="32"/>
        <v>0</v>
      </c>
      <c r="J146" s="162">
        <f t="shared" si="35"/>
        <v>0</v>
      </c>
      <c r="K146" s="162"/>
      <c r="L146" s="335"/>
      <c r="M146" s="162">
        <f t="shared" si="36"/>
        <v>0</v>
      </c>
      <c r="N146" s="335"/>
      <c r="O146" s="162">
        <f t="shared" si="37"/>
        <v>0</v>
      </c>
      <c r="P146" s="162">
        <f t="shared" si="38"/>
        <v>0</v>
      </c>
    </row>
    <row r="147" spans="2:16">
      <c r="B147" s="9" t="str">
        <f t="shared" si="27"/>
        <v/>
      </c>
      <c r="C147" s="157">
        <f>IF(D93="","-",+C146+1)</f>
        <v>2057</v>
      </c>
      <c r="D147" s="158">
        <f>IF(F146+SUM(E$99:E146)=D$92,F146,D$92-SUM(E$99:E146))</f>
        <v>0</v>
      </c>
      <c r="E147" s="165">
        <f>IF(+J96&lt;F146,J96,D147)</f>
        <v>0</v>
      </c>
      <c r="F147" s="163">
        <f t="shared" si="33"/>
        <v>0</v>
      </c>
      <c r="G147" s="163">
        <f t="shared" si="34"/>
        <v>0</v>
      </c>
      <c r="H147" s="167">
        <f t="shared" si="31"/>
        <v>0</v>
      </c>
      <c r="I147" s="317">
        <f t="shared" si="32"/>
        <v>0</v>
      </c>
      <c r="J147" s="162">
        <f t="shared" si="35"/>
        <v>0</v>
      </c>
      <c r="K147" s="162"/>
      <c r="L147" s="335"/>
      <c r="M147" s="162">
        <f t="shared" si="36"/>
        <v>0</v>
      </c>
      <c r="N147" s="335"/>
      <c r="O147" s="162">
        <f t="shared" si="37"/>
        <v>0</v>
      </c>
      <c r="P147" s="162">
        <f t="shared" si="38"/>
        <v>0</v>
      </c>
    </row>
    <row r="148" spans="2:16">
      <c r="B148" s="9" t="str">
        <f t="shared" si="27"/>
        <v/>
      </c>
      <c r="C148" s="157">
        <f>IF(D93="","-",+C147+1)</f>
        <v>2058</v>
      </c>
      <c r="D148" s="158">
        <f>IF(F147+SUM(E$99:E147)=D$92,F147,D$92-SUM(E$99:E147))</f>
        <v>0</v>
      </c>
      <c r="E148" s="165">
        <f>IF(+J96&lt;F147,J96,D148)</f>
        <v>0</v>
      </c>
      <c r="F148" s="163">
        <f t="shared" si="33"/>
        <v>0</v>
      </c>
      <c r="G148" s="163">
        <f t="shared" si="34"/>
        <v>0</v>
      </c>
      <c r="H148" s="167">
        <f t="shared" si="31"/>
        <v>0</v>
      </c>
      <c r="I148" s="317">
        <f t="shared" si="32"/>
        <v>0</v>
      </c>
      <c r="J148" s="162">
        <f t="shared" si="35"/>
        <v>0</v>
      </c>
      <c r="K148" s="162"/>
      <c r="L148" s="335"/>
      <c r="M148" s="162">
        <f t="shared" si="36"/>
        <v>0</v>
      </c>
      <c r="N148" s="335"/>
      <c r="O148" s="162">
        <f t="shared" si="37"/>
        <v>0</v>
      </c>
      <c r="P148" s="162">
        <f t="shared" si="38"/>
        <v>0</v>
      </c>
    </row>
    <row r="149" spans="2:16">
      <c r="B149" s="9" t="str">
        <f t="shared" si="27"/>
        <v/>
      </c>
      <c r="C149" s="157">
        <f>IF(D93="","-",+C148+1)</f>
        <v>2059</v>
      </c>
      <c r="D149" s="158">
        <f>IF(F148+SUM(E$99:E148)=D$92,F148,D$92-SUM(E$99:E148))</f>
        <v>0</v>
      </c>
      <c r="E149" s="165">
        <f>IF(+J96&lt;F148,J96,D149)</f>
        <v>0</v>
      </c>
      <c r="F149" s="163">
        <f t="shared" si="33"/>
        <v>0</v>
      </c>
      <c r="G149" s="163">
        <f t="shared" si="34"/>
        <v>0</v>
      </c>
      <c r="H149" s="167">
        <f t="shared" si="31"/>
        <v>0</v>
      </c>
      <c r="I149" s="317">
        <f t="shared" si="32"/>
        <v>0</v>
      </c>
      <c r="J149" s="162">
        <f t="shared" si="35"/>
        <v>0</v>
      </c>
      <c r="K149" s="162"/>
      <c r="L149" s="335"/>
      <c r="M149" s="162">
        <f t="shared" si="36"/>
        <v>0</v>
      </c>
      <c r="N149" s="335"/>
      <c r="O149" s="162">
        <f t="shared" si="37"/>
        <v>0</v>
      </c>
      <c r="P149" s="162">
        <f t="shared" si="38"/>
        <v>0</v>
      </c>
    </row>
    <row r="150" spans="2:16">
      <c r="B150" s="9" t="str">
        <f t="shared" si="27"/>
        <v/>
      </c>
      <c r="C150" s="157">
        <f>IF(D93="","-",+C149+1)</f>
        <v>2060</v>
      </c>
      <c r="D150" s="158">
        <f>IF(F149+SUM(E$99:E149)=D$92,F149,D$92-SUM(E$99:E149))</f>
        <v>0</v>
      </c>
      <c r="E150" s="165">
        <f>IF(+J96&lt;F149,J96,D150)</f>
        <v>0</v>
      </c>
      <c r="F150" s="163">
        <f t="shared" si="33"/>
        <v>0</v>
      </c>
      <c r="G150" s="163">
        <f t="shared" si="34"/>
        <v>0</v>
      </c>
      <c r="H150" s="167">
        <f t="shared" si="31"/>
        <v>0</v>
      </c>
      <c r="I150" s="317">
        <f t="shared" si="32"/>
        <v>0</v>
      </c>
      <c r="J150" s="162">
        <f t="shared" si="35"/>
        <v>0</v>
      </c>
      <c r="K150" s="162"/>
      <c r="L150" s="335"/>
      <c r="M150" s="162">
        <f t="shared" si="36"/>
        <v>0</v>
      </c>
      <c r="N150" s="335"/>
      <c r="O150" s="162">
        <f t="shared" si="37"/>
        <v>0</v>
      </c>
      <c r="P150" s="162">
        <f t="shared" si="38"/>
        <v>0</v>
      </c>
    </row>
    <row r="151" spans="2:16">
      <c r="B151" s="9" t="str">
        <f t="shared" si="27"/>
        <v/>
      </c>
      <c r="C151" s="157">
        <f>IF(D93="","-",+C150+1)</f>
        <v>2061</v>
      </c>
      <c r="D151" s="158">
        <f>IF(F150+SUM(E$99:E150)=D$92,F150,D$92-SUM(E$99:E150))</f>
        <v>0</v>
      </c>
      <c r="E151" s="165">
        <f>IF(+J96&lt;F150,J96,D151)</f>
        <v>0</v>
      </c>
      <c r="F151" s="163">
        <f t="shared" si="33"/>
        <v>0</v>
      </c>
      <c r="G151" s="163">
        <f t="shared" si="34"/>
        <v>0</v>
      </c>
      <c r="H151" s="167">
        <f t="shared" si="31"/>
        <v>0</v>
      </c>
      <c r="I151" s="317">
        <f t="shared" si="32"/>
        <v>0</v>
      </c>
      <c r="J151" s="162">
        <f t="shared" si="35"/>
        <v>0</v>
      </c>
      <c r="K151" s="162"/>
      <c r="L151" s="335"/>
      <c r="M151" s="162">
        <f t="shared" si="36"/>
        <v>0</v>
      </c>
      <c r="N151" s="335"/>
      <c r="O151" s="162">
        <f t="shared" si="37"/>
        <v>0</v>
      </c>
      <c r="P151" s="162">
        <f t="shared" si="38"/>
        <v>0</v>
      </c>
    </row>
    <row r="152" spans="2:16">
      <c r="B152" s="9" t="str">
        <f t="shared" si="27"/>
        <v/>
      </c>
      <c r="C152" s="157">
        <f>IF(D93="","-",+C151+1)</f>
        <v>2062</v>
      </c>
      <c r="D152" s="158">
        <f>IF(F151+SUM(E$99:E151)=D$92,F151,D$92-SUM(E$99:E151))</f>
        <v>0</v>
      </c>
      <c r="E152" s="165">
        <f>IF(+J96&lt;F151,J96,D152)</f>
        <v>0</v>
      </c>
      <c r="F152" s="163">
        <f t="shared" si="33"/>
        <v>0</v>
      </c>
      <c r="G152" s="163">
        <f t="shared" si="34"/>
        <v>0</v>
      </c>
      <c r="H152" s="167">
        <f t="shared" si="31"/>
        <v>0</v>
      </c>
      <c r="I152" s="317">
        <f t="shared" si="32"/>
        <v>0</v>
      </c>
      <c r="J152" s="162">
        <f t="shared" si="35"/>
        <v>0</v>
      </c>
      <c r="K152" s="162"/>
      <c r="L152" s="335"/>
      <c r="M152" s="162">
        <f t="shared" si="36"/>
        <v>0</v>
      </c>
      <c r="N152" s="335"/>
      <c r="O152" s="162">
        <f t="shared" si="37"/>
        <v>0</v>
      </c>
      <c r="P152" s="162">
        <f t="shared" si="38"/>
        <v>0</v>
      </c>
    </row>
    <row r="153" spans="2:16">
      <c r="B153" s="9" t="str">
        <f t="shared" si="27"/>
        <v/>
      </c>
      <c r="C153" s="157">
        <f>IF(D93="","-",+C152+1)</f>
        <v>2063</v>
      </c>
      <c r="D153" s="158">
        <f>IF(F152+SUM(E$99:E152)=D$92,F152,D$92-SUM(E$99:E152))</f>
        <v>0</v>
      </c>
      <c r="E153" s="165">
        <f>IF(+J96&lt;F152,J96,D153)</f>
        <v>0</v>
      </c>
      <c r="F153" s="163">
        <f t="shared" si="33"/>
        <v>0</v>
      </c>
      <c r="G153" s="163">
        <f t="shared" si="34"/>
        <v>0</v>
      </c>
      <c r="H153" s="167">
        <f t="shared" si="31"/>
        <v>0</v>
      </c>
      <c r="I153" s="317">
        <f t="shared" si="32"/>
        <v>0</v>
      </c>
      <c r="J153" s="162">
        <f t="shared" si="35"/>
        <v>0</v>
      </c>
      <c r="K153" s="162"/>
      <c r="L153" s="335"/>
      <c r="M153" s="162">
        <f t="shared" si="36"/>
        <v>0</v>
      </c>
      <c r="N153" s="335"/>
      <c r="O153" s="162">
        <f t="shared" si="37"/>
        <v>0</v>
      </c>
      <c r="P153" s="162">
        <f t="shared" si="38"/>
        <v>0</v>
      </c>
    </row>
    <row r="154" spans="2:16" ht="13.5" thickBot="1">
      <c r="B154" s="9" t="str">
        <f t="shared" si="27"/>
        <v/>
      </c>
      <c r="C154" s="168">
        <f>IF(D93="","-",+C153+1)</f>
        <v>2064</v>
      </c>
      <c r="D154" s="219">
        <f>IF(F153+SUM(E$99:E153)=D$92,F153,D$92-SUM(E$99:E153))</f>
        <v>0</v>
      </c>
      <c r="E154" s="377">
        <f>IF(+J96&lt;F153,J96,D154)</f>
        <v>0</v>
      </c>
      <c r="F154" s="169">
        <f t="shared" si="33"/>
        <v>0</v>
      </c>
      <c r="G154" s="169">
        <f t="shared" si="34"/>
        <v>0</v>
      </c>
      <c r="H154" s="171">
        <f t="shared" si="31"/>
        <v>0</v>
      </c>
      <c r="I154" s="318">
        <f t="shared" si="32"/>
        <v>0</v>
      </c>
      <c r="J154" s="173">
        <f t="shared" si="35"/>
        <v>0</v>
      </c>
      <c r="K154" s="162"/>
      <c r="L154" s="336"/>
      <c r="M154" s="173">
        <f t="shared" si="36"/>
        <v>0</v>
      </c>
      <c r="N154" s="336"/>
      <c r="O154" s="173">
        <f t="shared" si="37"/>
        <v>0</v>
      </c>
      <c r="P154" s="173">
        <f t="shared" si="38"/>
        <v>0</v>
      </c>
    </row>
    <row r="155" spans="2:16">
      <c r="C155" s="158" t="s">
        <v>72</v>
      </c>
      <c r="D155" s="115"/>
      <c r="E155" s="115">
        <f>SUM(E99:E154)</f>
        <v>4688896.1399999997</v>
      </c>
      <c r="F155" s="115"/>
      <c r="G155" s="115"/>
      <c r="H155" s="115">
        <f>SUM(H99:H154)</f>
        <v>16978524.0762024</v>
      </c>
      <c r="I155" s="115">
        <f>SUM(I99:I154)</f>
        <v>16978524.0762024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 t="s">
        <v>95</v>
      </c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74" t="s">
        <v>102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73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 t="s">
        <v>74</v>
      </c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phoneticPr fontId="0" type="noConversion"/>
  <conditionalFormatting sqref="C17:C72">
    <cfRule type="cellIs" dxfId="58" priority="1" stopIfTrue="1" operator="equal">
      <formula>$I$10</formula>
    </cfRule>
  </conditionalFormatting>
  <conditionalFormatting sqref="C99:C154">
    <cfRule type="cellIs" dxfId="57" priority="2" stopIfTrue="1" operator="equal">
      <formula>$J$92</formula>
    </cfRule>
  </conditionalFormatting>
  <pageMargins left="0.5" right="0.25" top="1" bottom="0.25" header="0.25" footer="0.5"/>
  <pageSetup scale="47" fitToHeight="0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P162"/>
  <sheetViews>
    <sheetView view="pageBreakPreview" topLeftCell="A82" zoomScale="75" zoomScaleNormal="100" zoomScaleSheetLayoutView="75" workbookViewId="0">
      <selection activeCell="M91" sqref="M91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"&amp;RIGHT(MID(CELL("filename",$A$1),FIND("]",CELL("filename",$A$1))+1,256),1)&amp;" of "&amp;COUNT('P.001:P.xyz - blank'!$P$3)-1</f>
        <v>PSO Project 3 of 28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 t="str">
        <f>"For Calendar Year "&amp;V1-1&amp;" and Projected Year "&amp;V1</f>
        <v xml:space="preserve">For Calendar Year -1 and Projected Year </v>
      </c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275</v>
      </c>
      <c r="L5" s="119"/>
      <c r="M5" s="120"/>
      <c r="N5" s="121">
        <f>VLOOKUP(I10,C17:I72,5)</f>
        <v>1231446.9312681679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276</v>
      </c>
      <c r="L6" s="125"/>
      <c r="M6" s="4"/>
      <c r="N6" s="126">
        <f>VLOOKUP(I10,C17:I72,6)</f>
        <v>1231446.9312681679</v>
      </c>
      <c r="O6" s="1"/>
      <c r="P6" s="1"/>
    </row>
    <row r="7" spans="1:16" ht="13.5" thickBot="1">
      <c r="C7" s="127" t="s">
        <v>41</v>
      </c>
      <c r="D7" s="343" t="s">
        <v>200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/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A9" s="107"/>
      <c r="C9" s="133" t="s">
        <v>43</v>
      </c>
      <c r="D9" s="229" t="s">
        <v>76</v>
      </c>
      <c r="E9" s="427" t="s">
        <v>301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11456065</v>
      </c>
      <c r="E10" s="64" t="s">
        <v>46</v>
      </c>
      <c r="F10" s="137"/>
      <c r="G10" s="139"/>
      <c r="H10" s="139"/>
      <c r="I10" s="140">
        <f>+PSO.WS.F.BPU.ATRR.Projected!L19</f>
        <v>2020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2009</v>
      </c>
      <c r="E11" s="141" t="s">
        <v>49</v>
      </c>
      <c r="F11" s="139"/>
      <c r="G11" s="7"/>
      <c r="H11" s="7"/>
      <c r="I11" s="143"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10</v>
      </c>
      <c r="E12" s="141" t="s">
        <v>51</v>
      </c>
      <c r="F12" s="139"/>
      <c r="G12" s="7"/>
      <c r="H12" s="7"/>
      <c r="I12" s="145">
        <f>PSO.WS.F.BPU.ATRR.Projected!$F$81</f>
        <v>0.10800477690995318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42</v>
      </c>
      <c r="E13" s="141" t="s">
        <v>54</v>
      </c>
      <c r="F13" s="139"/>
      <c r="G13" s="7"/>
      <c r="H13" s="7"/>
      <c r="I13" s="145">
        <f>IF(G5="",I12,PSO.WS.F.BPU.ATRR.Projected!$F$80)</f>
        <v>0.10800477690995318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272763.45238095237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277</v>
      </c>
      <c r="H15" s="362" t="s">
        <v>278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C17" s="157">
        <f>IF(D11= "","-",D11)</f>
        <v>2009</v>
      </c>
      <c r="D17" s="366">
        <v>0</v>
      </c>
      <c r="E17" s="367">
        <v>26281</v>
      </c>
      <c r="F17" s="366">
        <v>8804059</v>
      </c>
      <c r="G17" s="367">
        <v>4402030</v>
      </c>
      <c r="H17" s="367">
        <v>669894</v>
      </c>
      <c r="I17" s="160">
        <v>669894</v>
      </c>
      <c r="J17" s="160"/>
      <c r="K17" s="338">
        <v>388620</v>
      </c>
      <c r="L17" s="161">
        <f t="shared" ref="L17:L48" si="0">IF(K17&lt;&gt;0,+G17-K17,0)</f>
        <v>4013410</v>
      </c>
      <c r="M17" s="338">
        <v>388620</v>
      </c>
      <c r="N17" s="161">
        <f t="shared" ref="N17:N48" si="1">IF(M17&lt;&gt;0,+H17-M17,0)</f>
        <v>281274</v>
      </c>
      <c r="O17" s="162">
        <f t="shared" ref="O17:O48" si="2">+N17-L17</f>
        <v>-3732136</v>
      </c>
      <c r="P17" s="4"/>
    </row>
    <row r="18" spans="2:16">
      <c r="B18" s="9" t="str">
        <f>IF(D18=F17,"","IU")</f>
        <v>IU</v>
      </c>
      <c r="C18" s="157">
        <f>IF(D11="","-",+C17+1)</f>
        <v>2010</v>
      </c>
      <c r="D18" s="371">
        <v>12205867</v>
      </c>
      <c r="E18" s="368">
        <v>239846</v>
      </c>
      <c r="F18" s="371">
        <v>11966021</v>
      </c>
      <c r="G18" s="368">
        <v>12085944</v>
      </c>
      <c r="H18" s="370">
        <v>2183449.7644146364</v>
      </c>
      <c r="I18" s="160">
        <v>2183449.7644146364</v>
      </c>
      <c r="J18" s="160"/>
      <c r="K18" s="338">
        <f t="shared" ref="K18:K23" si="3">G18</f>
        <v>12085944</v>
      </c>
      <c r="L18" s="272">
        <f t="shared" si="0"/>
        <v>0</v>
      </c>
      <c r="M18" s="338">
        <f t="shared" ref="M18:M23" si="4">H18</f>
        <v>2183449.7644146364</v>
      </c>
      <c r="N18" s="162">
        <f t="shared" si="1"/>
        <v>0</v>
      </c>
      <c r="O18" s="162">
        <f t="shared" si="2"/>
        <v>0</v>
      </c>
      <c r="P18" s="4"/>
    </row>
    <row r="19" spans="2:16">
      <c r="B19" s="9" t="str">
        <f>IF(D19=F18,"","IU")</f>
        <v/>
      </c>
      <c r="C19" s="157">
        <f>IF(D11="","-",+C18+1)</f>
        <v>2011</v>
      </c>
      <c r="D19" s="371">
        <v>11966021</v>
      </c>
      <c r="E19" s="368">
        <v>235234</v>
      </c>
      <c r="F19" s="371">
        <v>11730787</v>
      </c>
      <c r="G19" s="368">
        <v>11848404</v>
      </c>
      <c r="H19" s="370">
        <v>1891800.0972614796</v>
      </c>
      <c r="I19" s="160">
        <v>1891800.0972614796</v>
      </c>
      <c r="J19" s="160"/>
      <c r="K19" s="338">
        <f t="shared" si="3"/>
        <v>11848404</v>
      </c>
      <c r="L19" s="272">
        <f t="shared" si="0"/>
        <v>0</v>
      </c>
      <c r="M19" s="338">
        <f t="shared" si="4"/>
        <v>1891800.0972614796</v>
      </c>
      <c r="N19" s="162">
        <f t="shared" si="1"/>
        <v>0</v>
      </c>
      <c r="O19" s="162">
        <f t="shared" si="2"/>
        <v>0</v>
      </c>
      <c r="P19" s="4"/>
    </row>
    <row r="20" spans="2:16">
      <c r="B20" s="9" t="str">
        <f t="shared" ref="B20:B72" si="5">IF(D20=F19,"","IU")</f>
        <v/>
      </c>
      <c r="C20" s="157">
        <f>IF(D11="","-",+C19+1)</f>
        <v>2012</v>
      </c>
      <c r="D20" s="371">
        <v>11730787</v>
      </c>
      <c r="E20" s="368">
        <v>235234</v>
      </c>
      <c r="F20" s="371">
        <v>11495553</v>
      </c>
      <c r="G20" s="368">
        <v>11613170</v>
      </c>
      <c r="H20" s="370">
        <v>1905852.1655461292</v>
      </c>
      <c r="I20" s="160">
        <v>1905852.1655461292</v>
      </c>
      <c r="J20" s="160"/>
      <c r="K20" s="338">
        <f t="shared" si="3"/>
        <v>11613170</v>
      </c>
      <c r="L20" s="272">
        <f t="shared" si="0"/>
        <v>0</v>
      </c>
      <c r="M20" s="338">
        <f t="shared" si="4"/>
        <v>1905852.1655461292</v>
      </c>
      <c r="N20" s="162">
        <f t="shared" si="1"/>
        <v>0</v>
      </c>
      <c r="O20" s="162">
        <f t="shared" si="2"/>
        <v>0</v>
      </c>
      <c r="P20" s="4"/>
    </row>
    <row r="21" spans="2:16">
      <c r="B21" s="9" t="str">
        <f t="shared" si="5"/>
        <v/>
      </c>
      <c r="C21" s="157">
        <f>IF(D12="","-",+C20+1)</f>
        <v>2013</v>
      </c>
      <c r="D21" s="371">
        <v>11495553</v>
      </c>
      <c r="E21" s="368">
        <v>235234</v>
      </c>
      <c r="F21" s="371">
        <v>11260319</v>
      </c>
      <c r="G21" s="368">
        <v>11377936</v>
      </c>
      <c r="H21" s="370">
        <v>1872969.4877104962</v>
      </c>
      <c r="I21" s="160">
        <v>1872969.4877104962</v>
      </c>
      <c r="J21" s="160"/>
      <c r="K21" s="338">
        <f t="shared" si="3"/>
        <v>11377936</v>
      </c>
      <c r="L21" s="272">
        <f t="shared" ref="L21:L26" si="6">IF(K21&lt;&gt;0,+G21-K21,0)</f>
        <v>0</v>
      </c>
      <c r="M21" s="338">
        <f t="shared" si="4"/>
        <v>1872969.4877104962</v>
      </c>
      <c r="N21" s="162">
        <f t="shared" ref="N21:N26" si="7">IF(M21&lt;&gt;0,+H21-M21,0)</f>
        <v>0</v>
      </c>
      <c r="O21" s="162">
        <f t="shared" ref="O21:O26" si="8">+N21-L21</f>
        <v>0</v>
      </c>
      <c r="P21" s="4"/>
    </row>
    <row r="22" spans="2:16">
      <c r="B22" s="9" t="str">
        <f t="shared" si="5"/>
        <v>IU</v>
      </c>
      <c r="C22" s="157">
        <f>IF(D11="","-",+C21+1)</f>
        <v>2014</v>
      </c>
      <c r="D22" s="371">
        <v>10484236</v>
      </c>
      <c r="E22" s="368">
        <v>220309</v>
      </c>
      <c r="F22" s="371">
        <v>10263927</v>
      </c>
      <c r="G22" s="368">
        <v>10374081.5</v>
      </c>
      <c r="H22" s="370">
        <v>1678862.4521722798</v>
      </c>
      <c r="I22" s="160">
        <v>1678862.4521722798</v>
      </c>
      <c r="J22" s="160"/>
      <c r="K22" s="338">
        <f t="shared" si="3"/>
        <v>10374081.5</v>
      </c>
      <c r="L22" s="272">
        <f t="shared" si="6"/>
        <v>0</v>
      </c>
      <c r="M22" s="338">
        <f t="shared" si="4"/>
        <v>1678862.4521722798</v>
      </c>
      <c r="N22" s="162">
        <f t="shared" si="7"/>
        <v>0</v>
      </c>
      <c r="O22" s="162">
        <f t="shared" si="8"/>
        <v>0</v>
      </c>
      <c r="P22" s="4"/>
    </row>
    <row r="23" spans="2:16">
      <c r="B23" s="9" t="str">
        <f t="shared" si="5"/>
        <v/>
      </c>
      <c r="C23" s="157">
        <f>IF(D11="","-",+C22+1)</f>
        <v>2015</v>
      </c>
      <c r="D23" s="371">
        <v>10263927</v>
      </c>
      <c r="E23" s="368">
        <v>220309</v>
      </c>
      <c r="F23" s="371">
        <v>10043618</v>
      </c>
      <c r="G23" s="368">
        <v>10153772.5</v>
      </c>
      <c r="H23" s="370">
        <v>1605709.6172709188</v>
      </c>
      <c r="I23" s="160">
        <v>1605709.6172709188</v>
      </c>
      <c r="J23" s="160"/>
      <c r="K23" s="338">
        <f t="shared" si="3"/>
        <v>10153772.5</v>
      </c>
      <c r="L23" s="272">
        <f t="shared" si="6"/>
        <v>0</v>
      </c>
      <c r="M23" s="338">
        <f t="shared" si="4"/>
        <v>1605709.6172709188</v>
      </c>
      <c r="N23" s="162">
        <f t="shared" si="7"/>
        <v>0</v>
      </c>
      <c r="O23" s="162">
        <f t="shared" si="8"/>
        <v>0</v>
      </c>
      <c r="P23" s="4"/>
    </row>
    <row r="24" spans="2:16">
      <c r="B24" s="9" t="str">
        <f t="shared" si="5"/>
        <v/>
      </c>
      <c r="C24" s="157">
        <f>IF(D11="","-",+C23+1)</f>
        <v>2016</v>
      </c>
      <c r="D24" s="371">
        <v>10043618</v>
      </c>
      <c r="E24" s="368">
        <v>249045</v>
      </c>
      <c r="F24" s="371">
        <v>9794573</v>
      </c>
      <c r="G24" s="368">
        <v>9919095.5</v>
      </c>
      <c r="H24" s="370">
        <v>1527772.6245386968</v>
      </c>
      <c r="I24" s="160">
        <v>1527772.6245386968</v>
      </c>
      <c r="J24" s="160"/>
      <c r="K24" s="338">
        <f>G24</f>
        <v>9919095.5</v>
      </c>
      <c r="L24" s="272">
        <f t="shared" si="6"/>
        <v>0</v>
      </c>
      <c r="M24" s="338">
        <f>H24</f>
        <v>1527772.6245386968</v>
      </c>
      <c r="N24" s="162">
        <f t="shared" si="7"/>
        <v>0</v>
      </c>
      <c r="O24" s="162">
        <f t="shared" si="8"/>
        <v>0</v>
      </c>
      <c r="P24" s="4"/>
    </row>
    <row r="25" spans="2:16">
      <c r="B25" s="9" t="str">
        <f t="shared" si="5"/>
        <v/>
      </c>
      <c r="C25" s="157">
        <f>IF(D11="","-",+C24+1)</f>
        <v>2017</v>
      </c>
      <c r="D25" s="371">
        <v>9794573</v>
      </c>
      <c r="E25" s="368">
        <v>249045</v>
      </c>
      <c r="F25" s="371">
        <v>9545528</v>
      </c>
      <c r="G25" s="368">
        <v>9670050.5</v>
      </c>
      <c r="H25" s="370">
        <v>1475715.2889659985</v>
      </c>
      <c r="I25" s="160">
        <v>1475715.2889659985</v>
      </c>
      <c r="J25" s="160"/>
      <c r="K25" s="338">
        <f>G25</f>
        <v>9670050.5</v>
      </c>
      <c r="L25" s="272">
        <f t="shared" si="6"/>
        <v>0</v>
      </c>
      <c r="M25" s="338">
        <f>H25</f>
        <v>1475715.2889659985</v>
      </c>
      <c r="N25" s="162">
        <f t="shared" si="7"/>
        <v>0</v>
      </c>
      <c r="O25" s="162">
        <f t="shared" si="8"/>
        <v>0</v>
      </c>
      <c r="P25" s="4"/>
    </row>
    <row r="26" spans="2:16">
      <c r="B26" s="9" t="str">
        <f t="shared" si="5"/>
        <v/>
      </c>
      <c r="C26" s="157">
        <f>IF(D11="","-",+C25+1)</f>
        <v>2018</v>
      </c>
      <c r="D26" s="371">
        <v>9545528</v>
      </c>
      <c r="E26" s="368">
        <v>266420</v>
      </c>
      <c r="F26" s="371">
        <v>9279108</v>
      </c>
      <c r="G26" s="368">
        <v>9412318</v>
      </c>
      <c r="H26" s="370">
        <v>1233399.824885203</v>
      </c>
      <c r="I26" s="160">
        <v>1233399.824885203</v>
      </c>
      <c r="J26" s="160"/>
      <c r="K26" s="338">
        <f>G26</f>
        <v>9412318</v>
      </c>
      <c r="L26" s="272">
        <f t="shared" si="6"/>
        <v>0</v>
      </c>
      <c r="M26" s="338">
        <f>H26</f>
        <v>1233399.824885203</v>
      </c>
      <c r="N26" s="162">
        <f t="shared" si="7"/>
        <v>0</v>
      </c>
      <c r="O26" s="162">
        <f t="shared" si="8"/>
        <v>0</v>
      </c>
      <c r="P26" s="4"/>
    </row>
    <row r="27" spans="2:16">
      <c r="B27" s="9" t="str">
        <f t="shared" si="5"/>
        <v/>
      </c>
      <c r="C27" s="157">
        <f>IF(D11="","-",+C26+1)</f>
        <v>2019</v>
      </c>
      <c r="D27" s="371">
        <v>9279108</v>
      </c>
      <c r="E27" s="368">
        <v>266420</v>
      </c>
      <c r="F27" s="371">
        <v>9012688</v>
      </c>
      <c r="G27" s="368">
        <v>9145898</v>
      </c>
      <c r="H27" s="370">
        <v>1206029.0151711754</v>
      </c>
      <c r="I27" s="160">
        <v>1206029.0151711754</v>
      </c>
      <c r="J27" s="160"/>
      <c r="K27" s="338">
        <f>G27</f>
        <v>9145898</v>
      </c>
      <c r="L27" s="272">
        <f t="shared" ref="L27" si="9">IF(K27&lt;&gt;0,+G27-K27,0)</f>
        <v>0</v>
      </c>
      <c r="M27" s="338">
        <f>H27</f>
        <v>1206029.0151711754</v>
      </c>
      <c r="N27" s="162">
        <f t="shared" ref="N27" si="10">IF(M27&lt;&gt;0,+H27-M27,0)</f>
        <v>0</v>
      </c>
      <c r="O27" s="162">
        <f t="shared" ref="O27" si="11">+N27-L27</f>
        <v>0</v>
      </c>
      <c r="P27" s="4"/>
    </row>
    <row r="28" spans="2:16">
      <c r="B28" s="9" t="str">
        <f t="shared" si="5"/>
        <v/>
      </c>
      <c r="C28" s="157">
        <f>IF(D11="","-",+C27+1)</f>
        <v>2020</v>
      </c>
      <c r="D28" s="163">
        <f>IF(F27+SUM(E$17:E27)=D$10,F27,D$10-SUM(E$17:E27))</f>
        <v>9012688</v>
      </c>
      <c r="E28" s="164">
        <f>IF(+I14&lt;F27,I14,D28)</f>
        <v>272763.45238095237</v>
      </c>
      <c r="F28" s="163">
        <f t="shared" ref="F28:F72" si="12">+D28-E28</f>
        <v>8739924.5476190485</v>
      </c>
      <c r="G28" s="165">
        <f t="shared" ref="G28:G72" si="13">(D28+F28)/2*I$12+E28</f>
        <v>1231446.9312681679</v>
      </c>
      <c r="H28" s="147">
        <f t="shared" ref="H28:H72" si="14">+(D28+F28)/2*I$13+E28</f>
        <v>1231446.9312681679</v>
      </c>
      <c r="I28" s="160">
        <f t="shared" ref="I28:I48" si="15">H28-G28</f>
        <v>0</v>
      </c>
      <c r="J28" s="160"/>
      <c r="K28" s="335"/>
      <c r="L28" s="162">
        <f t="shared" si="0"/>
        <v>0</v>
      </c>
      <c r="M28" s="335"/>
      <c r="N28" s="162">
        <f t="shared" si="1"/>
        <v>0</v>
      </c>
      <c r="O28" s="162">
        <f t="shared" si="2"/>
        <v>0</v>
      </c>
      <c r="P28" s="4"/>
    </row>
    <row r="29" spans="2:16">
      <c r="B29" s="9" t="str">
        <f t="shared" si="5"/>
        <v/>
      </c>
      <c r="C29" s="157">
        <f>IF(D11="","-",+C28+1)</f>
        <v>2021</v>
      </c>
      <c r="D29" s="163">
        <f>IF(F28+SUM(E$17:E28)=D$10,F28,D$10-SUM(E$17:E28))</f>
        <v>8739924.5476190485</v>
      </c>
      <c r="E29" s="164">
        <f>IF(+I14&lt;F28,I14,D29)</f>
        <v>272763.45238095237</v>
      </c>
      <c r="F29" s="163">
        <f t="shared" si="12"/>
        <v>8467161.095238097</v>
      </c>
      <c r="G29" s="165">
        <f t="shared" si="13"/>
        <v>1201987.1754445746</v>
      </c>
      <c r="H29" s="147">
        <f t="shared" si="14"/>
        <v>1201987.1754445746</v>
      </c>
      <c r="I29" s="160">
        <f t="shared" si="15"/>
        <v>0</v>
      </c>
      <c r="J29" s="160"/>
      <c r="K29" s="335"/>
      <c r="L29" s="162">
        <f t="shared" si="0"/>
        <v>0</v>
      </c>
      <c r="M29" s="335"/>
      <c r="N29" s="162">
        <f t="shared" si="1"/>
        <v>0</v>
      </c>
      <c r="O29" s="162">
        <f t="shared" si="2"/>
        <v>0</v>
      </c>
      <c r="P29" s="4"/>
    </row>
    <row r="30" spans="2:16">
      <c r="B30" s="9" t="str">
        <f t="shared" si="5"/>
        <v/>
      </c>
      <c r="C30" s="157">
        <f>IF(D11="","-",+C29+1)</f>
        <v>2022</v>
      </c>
      <c r="D30" s="163">
        <f>IF(F29+SUM(E$17:E29)=D$10,F29,D$10-SUM(E$17:E29))</f>
        <v>8467161.095238097</v>
      </c>
      <c r="E30" s="164">
        <f>IF(+I14&lt;F29,I14,D30)</f>
        <v>272763.45238095237</v>
      </c>
      <c r="F30" s="163">
        <f t="shared" si="12"/>
        <v>8194397.6428571446</v>
      </c>
      <c r="G30" s="165">
        <f t="shared" si="13"/>
        <v>1172527.4196209812</v>
      </c>
      <c r="H30" s="147">
        <f t="shared" si="14"/>
        <v>1172527.4196209812</v>
      </c>
      <c r="I30" s="160">
        <f t="shared" si="15"/>
        <v>0</v>
      </c>
      <c r="J30" s="160"/>
      <c r="K30" s="335"/>
      <c r="L30" s="162">
        <f t="shared" si="0"/>
        <v>0</v>
      </c>
      <c r="M30" s="335"/>
      <c r="N30" s="162">
        <f t="shared" si="1"/>
        <v>0</v>
      </c>
      <c r="O30" s="162">
        <f t="shared" si="2"/>
        <v>0</v>
      </c>
      <c r="P30" s="4"/>
    </row>
    <row r="31" spans="2:16">
      <c r="B31" s="9" t="str">
        <f t="shared" si="5"/>
        <v/>
      </c>
      <c r="C31" s="157">
        <f>IF(D11="","-",+C30+1)</f>
        <v>2023</v>
      </c>
      <c r="D31" s="163">
        <f>IF(F30+SUM(E$17:E30)=D$10,F30,D$10-SUM(E$17:E30))</f>
        <v>8194397.6428571446</v>
      </c>
      <c r="E31" s="164">
        <f>IF(+I14&lt;F30,I14,D31)</f>
        <v>272763.45238095237</v>
      </c>
      <c r="F31" s="163">
        <f t="shared" si="12"/>
        <v>7921634.1904761922</v>
      </c>
      <c r="G31" s="165">
        <f t="shared" si="13"/>
        <v>1143067.6637973876</v>
      </c>
      <c r="H31" s="147">
        <f t="shared" si="14"/>
        <v>1143067.6637973876</v>
      </c>
      <c r="I31" s="160">
        <f t="shared" si="15"/>
        <v>0</v>
      </c>
      <c r="J31" s="160"/>
      <c r="K31" s="335"/>
      <c r="L31" s="162">
        <f t="shared" si="0"/>
        <v>0</v>
      </c>
      <c r="M31" s="335"/>
      <c r="N31" s="162">
        <f t="shared" si="1"/>
        <v>0</v>
      </c>
      <c r="O31" s="162">
        <f t="shared" si="2"/>
        <v>0</v>
      </c>
      <c r="P31" s="4"/>
    </row>
    <row r="32" spans="2:16">
      <c r="B32" s="9" t="str">
        <f t="shared" si="5"/>
        <v/>
      </c>
      <c r="C32" s="157">
        <f>IF(D11="","-",+C31+1)</f>
        <v>2024</v>
      </c>
      <c r="D32" s="163">
        <f>IF(F31+SUM(E$17:E31)=D$10,F31,D$10-SUM(E$17:E31))</f>
        <v>7921634.1904761922</v>
      </c>
      <c r="E32" s="164">
        <f>IF(+I14&lt;F31,I14,D32)</f>
        <v>272763.45238095237</v>
      </c>
      <c r="F32" s="163">
        <f t="shared" si="12"/>
        <v>7648870.7380952397</v>
      </c>
      <c r="G32" s="165">
        <f t="shared" si="13"/>
        <v>1113607.9079737945</v>
      </c>
      <c r="H32" s="147">
        <f t="shared" si="14"/>
        <v>1113607.9079737945</v>
      </c>
      <c r="I32" s="160">
        <f t="shared" si="15"/>
        <v>0</v>
      </c>
      <c r="J32" s="160"/>
      <c r="K32" s="335"/>
      <c r="L32" s="162">
        <f t="shared" si="0"/>
        <v>0</v>
      </c>
      <c r="M32" s="335"/>
      <c r="N32" s="162">
        <f t="shared" si="1"/>
        <v>0</v>
      </c>
      <c r="O32" s="162">
        <f t="shared" si="2"/>
        <v>0</v>
      </c>
      <c r="P32" s="4"/>
    </row>
    <row r="33" spans="2:16">
      <c r="B33" s="9" t="str">
        <f t="shared" si="5"/>
        <v/>
      </c>
      <c r="C33" s="157">
        <f>IF(D11="","-",+C32+1)</f>
        <v>2025</v>
      </c>
      <c r="D33" s="163">
        <f>IF(F32+SUM(E$17:E32)=D$10,F32,D$10-SUM(E$17:E32))</f>
        <v>7648870.7380952397</v>
      </c>
      <c r="E33" s="164">
        <f>IF(+I14&lt;F32,I14,D33)</f>
        <v>272763.45238095237</v>
      </c>
      <c r="F33" s="163">
        <f t="shared" si="12"/>
        <v>7376107.2857142873</v>
      </c>
      <c r="G33" s="165">
        <f t="shared" si="13"/>
        <v>1084148.1521502009</v>
      </c>
      <c r="H33" s="147">
        <f t="shared" si="14"/>
        <v>1084148.1521502009</v>
      </c>
      <c r="I33" s="160">
        <f t="shared" si="15"/>
        <v>0</v>
      </c>
      <c r="J33" s="160"/>
      <c r="K33" s="335"/>
      <c r="L33" s="162">
        <f t="shared" si="0"/>
        <v>0</v>
      </c>
      <c r="M33" s="335"/>
      <c r="N33" s="162">
        <f t="shared" si="1"/>
        <v>0</v>
      </c>
      <c r="O33" s="162">
        <f t="shared" si="2"/>
        <v>0</v>
      </c>
      <c r="P33" s="4"/>
    </row>
    <row r="34" spans="2:16">
      <c r="B34" s="9" t="str">
        <f t="shared" si="5"/>
        <v/>
      </c>
      <c r="C34" s="157">
        <f>IF(D11="","-",+C33+1)</f>
        <v>2026</v>
      </c>
      <c r="D34" s="163">
        <f>IF(F33+SUM(E$17:E33)=D$10,F33,D$10-SUM(E$17:E33))</f>
        <v>7376107.2857142873</v>
      </c>
      <c r="E34" s="164">
        <f>IF(+I14&lt;F33,I14,D34)</f>
        <v>272763.45238095237</v>
      </c>
      <c r="F34" s="163">
        <f t="shared" si="12"/>
        <v>7103343.8333333349</v>
      </c>
      <c r="G34" s="165">
        <f t="shared" si="13"/>
        <v>1054688.3963266076</v>
      </c>
      <c r="H34" s="147">
        <f t="shared" si="14"/>
        <v>1054688.3963266076</v>
      </c>
      <c r="I34" s="160">
        <f t="shared" si="15"/>
        <v>0</v>
      </c>
      <c r="J34" s="160"/>
      <c r="K34" s="335"/>
      <c r="L34" s="162">
        <f t="shared" si="0"/>
        <v>0</v>
      </c>
      <c r="M34" s="335"/>
      <c r="N34" s="162">
        <f t="shared" si="1"/>
        <v>0</v>
      </c>
      <c r="O34" s="162">
        <f t="shared" si="2"/>
        <v>0</v>
      </c>
      <c r="P34" s="4"/>
    </row>
    <row r="35" spans="2:16">
      <c r="B35" s="9" t="str">
        <f t="shared" si="5"/>
        <v/>
      </c>
      <c r="C35" s="157">
        <f>IF(D11="","-",+C34+1)</f>
        <v>2027</v>
      </c>
      <c r="D35" s="163">
        <f>IF(F34+SUM(E$17:E34)=D$10,F34,D$10-SUM(E$17:E34))</f>
        <v>7103343.8333333349</v>
      </c>
      <c r="E35" s="164">
        <f>IF(+I14&lt;F34,I14,D35)</f>
        <v>272763.45238095237</v>
      </c>
      <c r="F35" s="163">
        <f t="shared" si="12"/>
        <v>6830580.3809523825</v>
      </c>
      <c r="G35" s="165">
        <f t="shared" si="13"/>
        <v>1025228.640503014</v>
      </c>
      <c r="H35" s="147">
        <f t="shared" si="14"/>
        <v>1025228.640503014</v>
      </c>
      <c r="I35" s="160">
        <f t="shared" si="15"/>
        <v>0</v>
      </c>
      <c r="J35" s="160"/>
      <c r="K35" s="335"/>
      <c r="L35" s="162">
        <f t="shared" si="0"/>
        <v>0</v>
      </c>
      <c r="M35" s="335"/>
      <c r="N35" s="162">
        <f t="shared" si="1"/>
        <v>0</v>
      </c>
      <c r="O35" s="162">
        <f t="shared" si="2"/>
        <v>0</v>
      </c>
      <c r="P35" s="4"/>
    </row>
    <row r="36" spans="2:16">
      <c r="B36" s="9" t="str">
        <f t="shared" si="5"/>
        <v/>
      </c>
      <c r="C36" s="157">
        <f>IF(D11="","-",+C35+1)</f>
        <v>2028</v>
      </c>
      <c r="D36" s="163">
        <f>IF(F35+SUM(E$17:E35)=D$10,F35,D$10-SUM(E$17:E35))</f>
        <v>6830580.3809523825</v>
      </c>
      <c r="E36" s="164">
        <f>IF(+I14&lt;F35,I14,D36)</f>
        <v>272763.45238095237</v>
      </c>
      <c r="F36" s="163">
        <f t="shared" si="12"/>
        <v>6557816.92857143</v>
      </c>
      <c r="G36" s="165">
        <f t="shared" si="13"/>
        <v>995768.88467942085</v>
      </c>
      <c r="H36" s="147">
        <f t="shared" si="14"/>
        <v>995768.88467942085</v>
      </c>
      <c r="I36" s="160">
        <f t="shared" si="15"/>
        <v>0</v>
      </c>
      <c r="J36" s="160"/>
      <c r="K36" s="335"/>
      <c r="L36" s="162">
        <f t="shared" si="0"/>
        <v>0</v>
      </c>
      <c r="M36" s="335"/>
      <c r="N36" s="162">
        <f t="shared" si="1"/>
        <v>0</v>
      </c>
      <c r="O36" s="162">
        <f t="shared" si="2"/>
        <v>0</v>
      </c>
      <c r="P36" s="4"/>
    </row>
    <row r="37" spans="2:16">
      <c r="B37" s="9" t="str">
        <f t="shared" si="5"/>
        <v/>
      </c>
      <c r="C37" s="157">
        <f>IF(D11="","-",+C36+1)</f>
        <v>2029</v>
      </c>
      <c r="D37" s="163">
        <f>IF(F36+SUM(E$17:E36)=D$10,F36,D$10-SUM(E$17:E36))</f>
        <v>6557816.92857143</v>
      </c>
      <c r="E37" s="164">
        <f>IF(+I14&lt;F36,I14,D37)</f>
        <v>272763.45238095237</v>
      </c>
      <c r="F37" s="163">
        <f t="shared" si="12"/>
        <v>6285053.4761904776</v>
      </c>
      <c r="G37" s="165">
        <f t="shared" si="13"/>
        <v>966309.12885582726</v>
      </c>
      <c r="H37" s="147">
        <f t="shared" si="14"/>
        <v>966309.12885582726</v>
      </c>
      <c r="I37" s="160">
        <f t="shared" si="15"/>
        <v>0</v>
      </c>
      <c r="J37" s="160"/>
      <c r="K37" s="335"/>
      <c r="L37" s="162">
        <f t="shared" si="0"/>
        <v>0</v>
      </c>
      <c r="M37" s="335"/>
      <c r="N37" s="162">
        <f t="shared" si="1"/>
        <v>0</v>
      </c>
      <c r="O37" s="162">
        <f t="shared" si="2"/>
        <v>0</v>
      </c>
      <c r="P37" s="4"/>
    </row>
    <row r="38" spans="2:16">
      <c r="B38" s="9" t="str">
        <f t="shared" si="5"/>
        <v/>
      </c>
      <c r="C38" s="157">
        <f>IF(D11="","-",+C37+1)</f>
        <v>2030</v>
      </c>
      <c r="D38" s="163">
        <f>IF(F37+SUM(E$17:E37)=D$10,F37,D$10-SUM(E$17:E37))</f>
        <v>6285053.4761904776</v>
      </c>
      <c r="E38" s="164">
        <f>IF(+I14&lt;F37,I14,D38)</f>
        <v>272763.45238095237</v>
      </c>
      <c r="F38" s="163">
        <f t="shared" si="12"/>
        <v>6012290.0238095252</v>
      </c>
      <c r="G38" s="165">
        <f t="shared" si="13"/>
        <v>936849.37303223391</v>
      </c>
      <c r="H38" s="147">
        <f t="shared" si="14"/>
        <v>936849.37303223391</v>
      </c>
      <c r="I38" s="160">
        <f t="shared" si="15"/>
        <v>0</v>
      </c>
      <c r="J38" s="160"/>
      <c r="K38" s="335"/>
      <c r="L38" s="162">
        <f t="shared" si="0"/>
        <v>0</v>
      </c>
      <c r="M38" s="335"/>
      <c r="N38" s="162">
        <f t="shared" si="1"/>
        <v>0</v>
      </c>
      <c r="O38" s="162">
        <f t="shared" si="2"/>
        <v>0</v>
      </c>
      <c r="P38" s="4"/>
    </row>
    <row r="39" spans="2:16">
      <c r="B39" s="9" t="str">
        <f t="shared" si="5"/>
        <v/>
      </c>
      <c r="C39" s="157">
        <f>IF(D11="","-",+C38+1)</f>
        <v>2031</v>
      </c>
      <c r="D39" s="163">
        <f>IF(F38+SUM(E$17:E38)=D$10,F38,D$10-SUM(E$17:E38))</f>
        <v>6012290.0238095252</v>
      </c>
      <c r="E39" s="164">
        <f>IF(+I14&lt;F38,I14,D39)</f>
        <v>272763.45238095237</v>
      </c>
      <c r="F39" s="163">
        <f t="shared" si="12"/>
        <v>5739526.5714285728</v>
      </c>
      <c r="G39" s="165">
        <f t="shared" si="13"/>
        <v>907389.61720864056</v>
      </c>
      <c r="H39" s="147">
        <f t="shared" si="14"/>
        <v>907389.61720864056</v>
      </c>
      <c r="I39" s="160">
        <f t="shared" si="15"/>
        <v>0</v>
      </c>
      <c r="J39" s="160"/>
      <c r="K39" s="335"/>
      <c r="L39" s="162">
        <f t="shared" si="0"/>
        <v>0</v>
      </c>
      <c r="M39" s="335"/>
      <c r="N39" s="162">
        <f t="shared" si="1"/>
        <v>0</v>
      </c>
      <c r="O39" s="162">
        <f t="shared" si="2"/>
        <v>0</v>
      </c>
      <c r="P39" s="4"/>
    </row>
    <row r="40" spans="2:16">
      <c r="B40" s="9" t="str">
        <f t="shared" si="5"/>
        <v/>
      </c>
      <c r="C40" s="157">
        <f>IF(D11="","-",+C39+1)</f>
        <v>2032</v>
      </c>
      <c r="D40" s="163">
        <f>IF(F39+SUM(E$17:E39)=D$10,F39,D$10-SUM(E$17:E39))</f>
        <v>5739526.5714285728</v>
      </c>
      <c r="E40" s="164">
        <f>IF(+I14&lt;F39,I14,D40)</f>
        <v>272763.45238095237</v>
      </c>
      <c r="F40" s="163">
        <f t="shared" si="12"/>
        <v>5466763.1190476203</v>
      </c>
      <c r="G40" s="165">
        <f t="shared" si="13"/>
        <v>877929.8613850472</v>
      </c>
      <c r="H40" s="147">
        <f t="shared" si="14"/>
        <v>877929.8613850472</v>
      </c>
      <c r="I40" s="160">
        <f t="shared" si="15"/>
        <v>0</v>
      </c>
      <c r="J40" s="160"/>
      <c r="K40" s="335"/>
      <c r="L40" s="162">
        <f t="shared" si="0"/>
        <v>0</v>
      </c>
      <c r="M40" s="335"/>
      <c r="N40" s="162">
        <f t="shared" si="1"/>
        <v>0</v>
      </c>
      <c r="O40" s="162">
        <f t="shared" si="2"/>
        <v>0</v>
      </c>
      <c r="P40" s="4"/>
    </row>
    <row r="41" spans="2:16">
      <c r="B41" s="9" t="str">
        <f t="shared" si="5"/>
        <v/>
      </c>
      <c r="C41" s="157">
        <f>IF(D11="","-",+C40+1)</f>
        <v>2033</v>
      </c>
      <c r="D41" s="163">
        <f>IF(F40+SUM(E$17:E40)=D$10,F40,D$10-SUM(E$17:E40))</f>
        <v>5466763.1190476203</v>
      </c>
      <c r="E41" s="164">
        <f>IF(+I14&lt;F40,I14,D41)</f>
        <v>272763.45238095237</v>
      </c>
      <c r="F41" s="163">
        <f t="shared" si="12"/>
        <v>5193999.6666666679</v>
      </c>
      <c r="G41" s="165">
        <f t="shared" si="13"/>
        <v>848470.10556145362</v>
      </c>
      <c r="H41" s="147">
        <f t="shared" si="14"/>
        <v>848470.10556145362</v>
      </c>
      <c r="I41" s="160">
        <f t="shared" si="15"/>
        <v>0</v>
      </c>
      <c r="J41" s="160"/>
      <c r="K41" s="335"/>
      <c r="L41" s="162">
        <f t="shared" si="0"/>
        <v>0</v>
      </c>
      <c r="M41" s="335"/>
      <c r="N41" s="162">
        <f t="shared" si="1"/>
        <v>0</v>
      </c>
      <c r="O41" s="162">
        <f t="shared" si="2"/>
        <v>0</v>
      </c>
      <c r="P41" s="4"/>
    </row>
    <row r="42" spans="2:16">
      <c r="B42" s="9" t="str">
        <f t="shared" si="5"/>
        <v/>
      </c>
      <c r="C42" s="157">
        <f>IF(D11="","-",+C41+1)</f>
        <v>2034</v>
      </c>
      <c r="D42" s="163">
        <f>IF(F41+SUM(E$17:E41)=D$10,F41,D$10-SUM(E$17:E41))</f>
        <v>5193999.6666666679</v>
      </c>
      <c r="E42" s="164">
        <f>IF(+I14&lt;F41,I14,D42)</f>
        <v>272763.45238095237</v>
      </c>
      <c r="F42" s="163">
        <f t="shared" si="12"/>
        <v>4921236.2142857155</v>
      </c>
      <c r="G42" s="165">
        <f t="shared" si="13"/>
        <v>819010.34973786026</v>
      </c>
      <c r="H42" s="147">
        <f t="shared" si="14"/>
        <v>819010.34973786026</v>
      </c>
      <c r="I42" s="160">
        <f t="shared" si="15"/>
        <v>0</v>
      </c>
      <c r="J42" s="160"/>
      <c r="K42" s="335"/>
      <c r="L42" s="162">
        <f t="shared" si="0"/>
        <v>0</v>
      </c>
      <c r="M42" s="335"/>
      <c r="N42" s="162">
        <f t="shared" si="1"/>
        <v>0</v>
      </c>
      <c r="O42" s="162">
        <f t="shared" si="2"/>
        <v>0</v>
      </c>
      <c r="P42" s="4"/>
    </row>
    <row r="43" spans="2:16">
      <c r="B43" s="9" t="str">
        <f t="shared" si="5"/>
        <v/>
      </c>
      <c r="C43" s="157">
        <f>IF(D11="","-",+C42+1)</f>
        <v>2035</v>
      </c>
      <c r="D43" s="163">
        <f>IF(F42+SUM(E$17:E42)=D$10,F42,D$10-SUM(E$17:E42))</f>
        <v>4921236.2142857155</v>
      </c>
      <c r="E43" s="164">
        <f>IF(+I14&lt;F42,I14,D43)</f>
        <v>272763.45238095237</v>
      </c>
      <c r="F43" s="163">
        <f t="shared" si="12"/>
        <v>4648472.7619047631</v>
      </c>
      <c r="G43" s="165">
        <f t="shared" si="13"/>
        <v>789550.59391426691</v>
      </c>
      <c r="H43" s="147">
        <f t="shared" si="14"/>
        <v>789550.59391426691</v>
      </c>
      <c r="I43" s="160">
        <f t="shared" si="15"/>
        <v>0</v>
      </c>
      <c r="J43" s="160"/>
      <c r="K43" s="335"/>
      <c r="L43" s="162">
        <f t="shared" si="0"/>
        <v>0</v>
      </c>
      <c r="M43" s="335"/>
      <c r="N43" s="162">
        <f t="shared" si="1"/>
        <v>0</v>
      </c>
      <c r="O43" s="162">
        <f t="shared" si="2"/>
        <v>0</v>
      </c>
      <c r="P43" s="4"/>
    </row>
    <row r="44" spans="2:16">
      <c r="B44" s="9" t="str">
        <f t="shared" si="5"/>
        <v/>
      </c>
      <c r="C44" s="157">
        <f>IF(D11="","-",+C43+1)</f>
        <v>2036</v>
      </c>
      <c r="D44" s="163">
        <f>IF(F43+SUM(E$17:E43)=D$10,F43,D$10-SUM(E$17:E43))</f>
        <v>4648472.7619047631</v>
      </c>
      <c r="E44" s="164">
        <f>IF(+I14&lt;F43,I14,D44)</f>
        <v>272763.45238095237</v>
      </c>
      <c r="F44" s="163">
        <f t="shared" si="12"/>
        <v>4375709.3095238106</v>
      </c>
      <c r="G44" s="165">
        <f t="shared" si="13"/>
        <v>760090.83809067355</v>
      </c>
      <c r="H44" s="147">
        <f t="shared" si="14"/>
        <v>760090.83809067355</v>
      </c>
      <c r="I44" s="160">
        <f t="shared" si="15"/>
        <v>0</v>
      </c>
      <c r="J44" s="160"/>
      <c r="K44" s="335"/>
      <c r="L44" s="162">
        <f t="shared" si="0"/>
        <v>0</v>
      </c>
      <c r="M44" s="335"/>
      <c r="N44" s="162">
        <f t="shared" si="1"/>
        <v>0</v>
      </c>
      <c r="O44" s="162">
        <f t="shared" si="2"/>
        <v>0</v>
      </c>
      <c r="P44" s="4"/>
    </row>
    <row r="45" spans="2:16">
      <c r="B45" s="9" t="str">
        <f t="shared" si="5"/>
        <v/>
      </c>
      <c r="C45" s="157">
        <f>IF(D11="","-",+C44+1)</f>
        <v>2037</v>
      </c>
      <c r="D45" s="163">
        <f>IF(F44+SUM(E$17:E44)=D$10,F44,D$10-SUM(E$17:E44))</f>
        <v>4375709.3095238106</v>
      </c>
      <c r="E45" s="164">
        <f>IF(+I14&lt;F44,I14,D45)</f>
        <v>272763.45238095237</v>
      </c>
      <c r="F45" s="163">
        <f t="shared" si="12"/>
        <v>4102945.8571428582</v>
      </c>
      <c r="G45" s="165">
        <f t="shared" si="13"/>
        <v>730631.08226707997</v>
      </c>
      <c r="H45" s="147">
        <f t="shared" si="14"/>
        <v>730631.08226707997</v>
      </c>
      <c r="I45" s="160">
        <f t="shared" si="15"/>
        <v>0</v>
      </c>
      <c r="J45" s="160"/>
      <c r="K45" s="335"/>
      <c r="L45" s="162">
        <f t="shared" si="0"/>
        <v>0</v>
      </c>
      <c r="M45" s="335"/>
      <c r="N45" s="162">
        <f t="shared" si="1"/>
        <v>0</v>
      </c>
      <c r="O45" s="162">
        <f t="shared" si="2"/>
        <v>0</v>
      </c>
      <c r="P45" s="4"/>
    </row>
    <row r="46" spans="2:16">
      <c r="B46" s="9" t="str">
        <f t="shared" si="5"/>
        <v/>
      </c>
      <c r="C46" s="157">
        <f>IF(D11="","-",+C45+1)</f>
        <v>2038</v>
      </c>
      <c r="D46" s="163">
        <f>IF(F45+SUM(E$17:E45)=D$10,F45,D$10-SUM(E$17:E45))</f>
        <v>4102945.8571428582</v>
      </c>
      <c r="E46" s="164">
        <f>IF(+I14&lt;F45,I14,D46)</f>
        <v>272763.45238095237</v>
      </c>
      <c r="F46" s="163">
        <f t="shared" si="12"/>
        <v>3830182.4047619058</v>
      </c>
      <c r="G46" s="165">
        <f t="shared" si="13"/>
        <v>701171.32644348661</v>
      </c>
      <c r="H46" s="147">
        <f t="shared" si="14"/>
        <v>701171.32644348661</v>
      </c>
      <c r="I46" s="160">
        <f t="shared" si="15"/>
        <v>0</v>
      </c>
      <c r="J46" s="160"/>
      <c r="K46" s="335"/>
      <c r="L46" s="162">
        <f t="shared" si="0"/>
        <v>0</v>
      </c>
      <c r="M46" s="335"/>
      <c r="N46" s="162">
        <f t="shared" si="1"/>
        <v>0</v>
      </c>
      <c r="O46" s="162">
        <f t="shared" si="2"/>
        <v>0</v>
      </c>
      <c r="P46" s="4"/>
    </row>
    <row r="47" spans="2:16">
      <c r="B47" s="9" t="str">
        <f t="shared" si="5"/>
        <v/>
      </c>
      <c r="C47" s="157">
        <f>IF(D11="","-",+C46+1)</f>
        <v>2039</v>
      </c>
      <c r="D47" s="163">
        <f>IF(F46+SUM(E$17:E46)=D$10,F46,D$10-SUM(E$17:E46))</f>
        <v>3830182.4047619058</v>
      </c>
      <c r="E47" s="164">
        <f>IF(+I14&lt;F46,I14,D47)</f>
        <v>272763.45238095237</v>
      </c>
      <c r="F47" s="163">
        <f t="shared" si="12"/>
        <v>3557418.9523809534</v>
      </c>
      <c r="G47" s="165">
        <f t="shared" si="13"/>
        <v>671711.57061989326</v>
      </c>
      <c r="H47" s="147">
        <f t="shared" si="14"/>
        <v>671711.57061989326</v>
      </c>
      <c r="I47" s="160">
        <f t="shared" si="15"/>
        <v>0</v>
      </c>
      <c r="J47" s="160"/>
      <c r="K47" s="335"/>
      <c r="L47" s="162">
        <f t="shared" si="0"/>
        <v>0</v>
      </c>
      <c r="M47" s="335"/>
      <c r="N47" s="162">
        <f t="shared" si="1"/>
        <v>0</v>
      </c>
      <c r="O47" s="162">
        <f t="shared" si="2"/>
        <v>0</v>
      </c>
      <c r="P47" s="4"/>
    </row>
    <row r="48" spans="2:16">
      <c r="B48" s="9" t="str">
        <f t="shared" si="5"/>
        <v/>
      </c>
      <c r="C48" s="157">
        <f>IF(D11="","-",+C47+1)</f>
        <v>2040</v>
      </c>
      <c r="D48" s="163">
        <f>IF(F47+SUM(E$17:E47)=D$10,F47,D$10-SUM(E$17:E47))</f>
        <v>3557418.9523809534</v>
      </c>
      <c r="E48" s="164">
        <f>IF(+I14&lt;F47,I14,D48)</f>
        <v>272763.45238095237</v>
      </c>
      <c r="F48" s="163">
        <f t="shared" si="12"/>
        <v>3284655.5000000009</v>
      </c>
      <c r="G48" s="165">
        <f t="shared" si="13"/>
        <v>642251.81479629991</v>
      </c>
      <c r="H48" s="147">
        <f t="shared" si="14"/>
        <v>642251.81479629991</v>
      </c>
      <c r="I48" s="160">
        <f t="shared" si="15"/>
        <v>0</v>
      </c>
      <c r="J48" s="160"/>
      <c r="K48" s="335"/>
      <c r="L48" s="162">
        <f t="shared" si="0"/>
        <v>0</v>
      </c>
      <c r="M48" s="335"/>
      <c r="N48" s="162">
        <f t="shared" si="1"/>
        <v>0</v>
      </c>
      <c r="O48" s="162">
        <f t="shared" si="2"/>
        <v>0</v>
      </c>
      <c r="P48" s="4"/>
    </row>
    <row r="49" spans="2:16">
      <c r="B49" s="9" t="str">
        <f t="shared" si="5"/>
        <v/>
      </c>
      <c r="C49" s="157">
        <f>IF(D11="","-",+C48+1)</f>
        <v>2041</v>
      </c>
      <c r="D49" s="163">
        <f>IF(F48+SUM(E$17:E48)=D$10,F48,D$10-SUM(E$17:E48))</f>
        <v>3284655.5000000009</v>
      </c>
      <c r="E49" s="164">
        <f>IF(+I14&lt;F48,I14,D49)</f>
        <v>272763.45238095237</v>
      </c>
      <c r="F49" s="163">
        <f t="shared" si="12"/>
        <v>3011892.0476190485</v>
      </c>
      <c r="G49" s="165">
        <f t="shared" si="13"/>
        <v>612792.05897270655</v>
      </c>
      <c r="H49" s="147">
        <f t="shared" si="14"/>
        <v>612792.05897270655</v>
      </c>
      <c r="I49" s="160">
        <f t="shared" ref="I49:I72" si="16">H303-G303</f>
        <v>0</v>
      </c>
      <c r="J49" s="160"/>
      <c r="K49" s="335"/>
      <c r="L49" s="162">
        <f t="shared" ref="L49:L72" si="17">IF(K303&lt;&gt;0,+G303-K303,0)</f>
        <v>0</v>
      </c>
      <c r="M49" s="335"/>
      <c r="N49" s="162">
        <f t="shared" ref="N49:N72" si="18">IF(M303&lt;&gt;0,+H303-M303,0)</f>
        <v>0</v>
      </c>
      <c r="O49" s="162">
        <f t="shared" ref="O49:O72" si="19">+N303-L303</f>
        <v>0</v>
      </c>
      <c r="P49" s="4"/>
    </row>
    <row r="50" spans="2:16">
      <c r="B50" s="9" t="str">
        <f t="shared" si="5"/>
        <v/>
      </c>
      <c r="C50" s="157">
        <f>IF(D11="","-",+C49+1)</f>
        <v>2042</v>
      </c>
      <c r="D50" s="163">
        <f>IF(F49+SUM(E$17:E49)=D$10,F49,D$10-SUM(E$17:E49))</f>
        <v>3011892.0476190485</v>
      </c>
      <c r="E50" s="164">
        <f>IF(+I14&lt;F49,I14,D50)</f>
        <v>272763.45238095237</v>
      </c>
      <c r="F50" s="163">
        <f t="shared" si="12"/>
        <v>2739128.5952380961</v>
      </c>
      <c r="G50" s="165">
        <f t="shared" si="13"/>
        <v>583332.30314911308</v>
      </c>
      <c r="H50" s="147">
        <f t="shared" si="14"/>
        <v>583332.30314911308</v>
      </c>
      <c r="I50" s="160">
        <f t="shared" si="16"/>
        <v>0</v>
      </c>
      <c r="J50" s="160"/>
      <c r="K50" s="335"/>
      <c r="L50" s="162">
        <f t="shared" si="17"/>
        <v>0</v>
      </c>
      <c r="M50" s="335"/>
      <c r="N50" s="162">
        <f t="shared" si="18"/>
        <v>0</v>
      </c>
      <c r="O50" s="162">
        <f t="shared" si="19"/>
        <v>0</v>
      </c>
      <c r="P50" s="4"/>
    </row>
    <row r="51" spans="2:16">
      <c r="B51" s="9" t="str">
        <f t="shared" si="5"/>
        <v/>
      </c>
      <c r="C51" s="157">
        <f>IF(D11="","-",+C50+1)</f>
        <v>2043</v>
      </c>
      <c r="D51" s="163">
        <f>IF(F50+SUM(E$17:E50)=D$10,F50,D$10-SUM(E$17:E50))</f>
        <v>2739128.5952380961</v>
      </c>
      <c r="E51" s="164">
        <f>IF(+I14&lt;F50,I14,D51)</f>
        <v>272763.45238095237</v>
      </c>
      <c r="F51" s="163">
        <f t="shared" si="12"/>
        <v>2466365.1428571437</v>
      </c>
      <c r="G51" s="165">
        <f t="shared" si="13"/>
        <v>553872.54732551961</v>
      </c>
      <c r="H51" s="147">
        <f t="shared" si="14"/>
        <v>553872.54732551961</v>
      </c>
      <c r="I51" s="160">
        <f t="shared" si="16"/>
        <v>0</v>
      </c>
      <c r="J51" s="160"/>
      <c r="K51" s="335"/>
      <c r="L51" s="162">
        <f t="shared" si="17"/>
        <v>0</v>
      </c>
      <c r="M51" s="335"/>
      <c r="N51" s="162">
        <f t="shared" si="18"/>
        <v>0</v>
      </c>
      <c r="O51" s="162">
        <f t="shared" si="19"/>
        <v>0</v>
      </c>
      <c r="P51" s="4"/>
    </row>
    <row r="52" spans="2:16">
      <c r="B52" s="9" t="str">
        <f t="shared" si="5"/>
        <v/>
      </c>
      <c r="C52" s="157">
        <f>IF(D11="","-",+C51+1)</f>
        <v>2044</v>
      </c>
      <c r="D52" s="163">
        <f>IF(F51+SUM(E$17:E51)=D$10,F51,D$10-SUM(E$17:E51))</f>
        <v>2466365.1428571437</v>
      </c>
      <c r="E52" s="164">
        <f>IF(+I14&lt;F51,I14,D52)</f>
        <v>272763.45238095237</v>
      </c>
      <c r="F52" s="163">
        <f t="shared" si="12"/>
        <v>2193601.6904761912</v>
      </c>
      <c r="G52" s="165">
        <f t="shared" si="13"/>
        <v>524412.79150192626</v>
      </c>
      <c r="H52" s="147">
        <f t="shared" si="14"/>
        <v>524412.79150192626</v>
      </c>
      <c r="I52" s="160">
        <f t="shared" si="16"/>
        <v>0</v>
      </c>
      <c r="J52" s="160"/>
      <c r="K52" s="335"/>
      <c r="L52" s="162">
        <f t="shared" si="17"/>
        <v>0</v>
      </c>
      <c r="M52" s="335"/>
      <c r="N52" s="162">
        <f t="shared" si="18"/>
        <v>0</v>
      </c>
      <c r="O52" s="162">
        <f t="shared" si="19"/>
        <v>0</v>
      </c>
      <c r="P52" s="4"/>
    </row>
    <row r="53" spans="2:16">
      <c r="B53" s="9" t="str">
        <f t="shared" si="5"/>
        <v/>
      </c>
      <c r="C53" s="157">
        <f>IF(D11="","-",+C52+1)</f>
        <v>2045</v>
      </c>
      <c r="D53" s="163">
        <f>IF(F52+SUM(E$17:E52)=D$10,F52,D$10-SUM(E$17:E52))</f>
        <v>2193601.6904761912</v>
      </c>
      <c r="E53" s="164">
        <f>IF(+I14&lt;F52,I14,D53)</f>
        <v>272763.45238095237</v>
      </c>
      <c r="F53" s="163">
        <f t="shared" si="12"/>
        <v>1920838.2380952388</v>
      </c>
      <c r="G53" s="165">
        <f t="shared" si="13"/>
        <v>494953.0356783329</v>
      </c>
      <c r="H53" s="147">
        <f t="shared" si="14"/>
        <v>494953.0356783329</v>
      </c>
      <c r="I53" s="160">
        <f t="shared" si="16"/>
        <v>0</v>
      </c>
      <c r="J53" s="160"/>
      <c r="K53" s="335"/>
      <c r="L53" s="162">
        <f t="shared" si="17"/>
        <v>0</v>
      </c>
      <c r="M53" s="335"/>
      <c r="N53" s="162">
        <f t="shared" si="18"/>
        <v>0</v>
      </c>
      <c r="O53" s="162">
        <f t="shared" si="19"/>
        <v>0</v>
      </c>
      <c r="P53" s="4"/>
    </row>
    <row r="54" spans="2:16">
      <c r="B54" s="9" t="str">
        <f t="shared" si="5"/>
        <v/>
      </c>
      <c r="C54" s="157">
        <f>IF(D11="","-",+C53+1)</f>
        <v>2046</v>
      </c>
      <c r="D54" s="163">
        <f>IF(F53+SUM(E$17:E53)=D$10,F53,D$10-SUM(E$17:E53))</f>
        <v>1920838.2380952388</v>
      </c>
      <c r="E54" s="164">
        <f>IF(+I14&lt;F53,I14,D54)</f>
        <v>272763.45238095237</v>
      </c>
      <c r="F54" s="163">
        <f t="shared" si="12"/>
        <v>1648074.7857142864</v>
      </c>
      <c r="G54" s="165">
        <f t="shared" si="13"/>
        <v>465493.27985473943</v>
      </c>
      <c r="H54" s="147">
        <f t="shared" si="14"/>
        <v>465493.27985473943</v>
      </c>
      <c r="I54" s="160">
        <f t="shared" si="16"/>
        <v>0</v>
      </c>
      <c r="J54" s="160"/>
      <c r="K54" s="335"/>
      <c r="L54" s="162">
        <f t="shared" si="17"/>
        <v>0</v>
      </c>
      <c r="M54" s="335"/>
      <c r="N54" s="162">
        <f t="shared" si="18"/>
        <v>0</v>
      </c>
      <c r="O54" s="162">
        <f t="shared" si="19"/>
        <v>0</v>
      </c>
      <c r="P54" s="4"/>
    </row>
    <row r="55" spans="2:16">
      <c r="B55" s="9" t="str">
        <f t="shared" si="5"/>
        <v/>
      </c>
      <c r="C55" s="157">
        <f>IF(D11="","-",+C54+1)</f>
        <v>2047</v>
      </c>
      <c r="D55" s="163">
        <f>IF(F54+SUM(E$17:E54)=D$10,F54,D$10-SUM(E$17:E54))</f>
        <v>1648074.7857142864</v>
      </c>
      <c r="E55" s="164">
        <f>IF(+I14&lt;F54,I14,D55)</f>
        <v>272763.45238095237</v>
      </c>
      <c r="F55" s="163">
        <f t="shared" si="12"/>
        <v>1375311.333333334</v>
      </c>
      <c r="G55" s="165">
        <f t="shared" si="13"/>
        <v>436033.52403114608</v>
      </c>
      <c r="H55" s="147">
        <f t="shared" si="14"/>
        <v>436033.52403114608</v>
      </c>
      <c r="I55" s="160">
        <f t="shared" si="16"/>
        <v>0</v>
      </c>
      <c r="J55" s="160"/>
      <c r="K55" s="335"/>
      <c r="L55" s="162">
        <f t="shared" si="17"/>
        <v>0</v>
      </c>
      <c r="M55" s="335"/>
      <c r="N55" s="162">
        <f t="shared" si="18"/>
        <v>0</v>
      </c>
      <c r="O55" s="162">
        <f t="shared" si="19"/>
        <v>0</v>
      </c>
      <c r="P55" s="4"/>
    </row>
    <row r="56" spans="2:16">
      <c r="B56" s="9" t="str">
        <f t="shared" si="5"/>
        <v/>
      </c>
      <c r="C56" s="157">
        <f>IF(D11="","-",+C55+1)</f>
        <v>2048</v>
      </c>
      <c r="D56" s="163">
        <f>IF(F55+SUM(E$17:E55)=D$10,F55,D$10-SUM(E$17:E55))</f>
        <v>1375311.333333334</v>
      </c>
      <c r="E56" s="164">
        <f>IF(+I14&lt;F55,I14,D56)</f>
        <v>272763.45238095237</v>
      </c>
      <c r="F56" s="163">
        <f t="shared" si="12"/>
        <v>1102547.8809523815</v>
      </c>
      <c r="G56" s="165">
        <f t="shared" si="13"/>
        <v>406573.76820755261</v>
      </c>
      <c r="H56" s="147">
        <f t="shared" si="14"/>
        <v>406573.76820755261</v>
      </c>
      <c r="I56" s="160">
        <f t="shared" si="16"/>
        <v>0</v>
      </c>
      <c r="J56" s="160"/>
      <c r="K56" s="335"/>
      <c r="L56" s="162">
        <f t="shared" si="17"/>
        <v>0</v>
      </c>
      <c r="M56" s="335"/>
      <c r="N56" s="162">
        <f t="shared" si="18"/>
        <v>0</v>
      </c>
      <c r="O56" s="162">
        <f t="shared" si="19"/>
        <v>0</v>
      </c>
      <c r="P56" s="4"/>
    </row>
    <row r="57" spans="2:16">
      <c r="B57" s="9" t="str">
        <f t="shared" si="5"/>
        <v/>
      </c>
      <c r="C57" s="157">
        <f>IF(D11="","-",+C56+1)</f>
        <v>2049</v>
      </c>
      <c r="D57" s="163">
        <f>IF(F56+SUM(E$17:E56)=D$10,F56,D$10-SUM(E$17:E56))</f>
        <v>1102547.8809523815</v>
      </c>
      <c r="E57" s="164">
        <f>IF(+I14&lt;F56,I14,D57)</f>
        <v>272763.45238095237</v>
      </c>
      <c r="F57" s="163">
        <f t="shared" si="12"/>
        <v>829784.4285714291</v>
      </c>
      <c r="G57" s="165">
        <f t="shared" si="13"/>
        <v>377114.01238395926</v>
      </c>
      <c r="H57" s="147">
        <f t="shared" si="14"/>
        <v>377114.01238395926</v>
      </c>
      <c r="I57" s="160">
        <f t="shared" si="16"/>
        <v>0</v>
      </c>
      <c r="J57" s="160"/>
      <c r="K57" s="335"/>
      <c r="L57" s="162">
        <f t="shared" si="17"/>
        <v>0</v>
      </c>
      <c r="M57" s="335"/>
      <c r="N57" s="162">
        <f t="shared" si="18"/>
        <v>0</v>
      </c>
      <c r="O57" s="162">
        <f t="shared" si="19"/>
        <v>0</v>
      </c>
      <c r="P57" s="4"/>
    </row>
    <row r="58" spans="2:16">
      <c r="B58" s="9" t="str">
        <f t="shared" si="5"/>
        <v/>
      </c>
      <c r="C58" s="157">
        <f>IF(D11="","-",+C57+1)</f>
        <v>2050</v>
      </c>
      <c r="D58" s="163">
        <f>IF(F57+SUM(E$17:E57)=D$10,F57,D$10-SUM(E$17:E57))</f>
        <v>829784.4285714291</v>
      </c>
      <c r="E58" s="164">
        <f>IF(+I14&lt;F57,I14,D58)</f>
        <v>272763.45238095237</v>
      </c>
      <c r="F58" s="163">
        <f t="shared" si="12"/>
        <v>557020.97619047668</v>
      </c>
      <c r="G58" s="165">
        <f t="shared" si="13"/>
        <v>347654.25656036584</v>
      </c>
      <c r="H58" s="147">
        <f t="shared" si="14"/>
        <v>347654.25656036584</v>
      </c>
      <c r="I58" s="160">
        <f t="shared" si="16"/>
        <v>0</v>
      </c>
      <c r="J58" s="160"/>
      <c r="K58" s="335"/>
      <c r="L58" s="162">
        <f t="shared" si="17"/>
        <v>0</v>
      </c>
      <c r="M58" s="335"/>
      <c r="N58" s="162">
        <f t="shared" si="18"/>
        <v>0</v>
      </c>
      <c r="O58" s="162">
        <f t="shared" si="19"/>
        <v>0</v>
      </c>
      <c r="P58" s="4"/>
    </row>
    <row r="59" spans="2:16">
      <c r="B59" s="9" t="str">
        <f t="shared" si="5"/>
        <v/>
      </c>
      <c r="C59" s="157">
        <f>IF(D11="","-",+C58+1)</f>
        <v>2051</v>
      </c>
      <c r="D59" s="163">
        <f>IF(F58+SUM(E$17:E58)=D$10,F58,D$10-SUM(E$17:E58))</f>
        <v>557020.97619047668</v>
      </c>
      <c r="E59" s="164">
        <f>IF(+I14&lt;F58,I14,D59)</f>
        <v>272763.45238095237</v>
      </c>
      <c r="F59" s="163">
        <f t="shared" si="12"/>
        <v>284257.52380952431</v>
      </c>
      <c r="G59" s="165">
        <f t="shared" si="13"/>
        <v>318194.50073677243</v>
      </c>
      <c r="H59" s="147">
        <f t="shared" si="14"/>
        <v>318194.50073677243</v>
      </c>
      <c r="I59" s="160">
        <f t="shared" si="16"/>
        <v>0</v>
      </c>
      <c r="J59" s="160"/>
      <c r="K59" s="335"/>
      <c r="L59" s="162">
        <f t="shared" si="17"/>
        <v>0</v>
      </c>
      <c r="M59" s="335"/>
      <c r="N59" s="162">
        <f t="shared" si="18"/>
        <v>0</v>
      </c>
      <c r="O59" s="162">
        <f t="shared" si="19"/>
        <v>0</v>
      </c>
      <c r="P59" s="4"/>
    </row>
    <row r="60" spans="2:16">
      <c r="B60" s="9" t="str">
        <f t="shared" si="5"/>
        <v/>
      </c>
      <c r="C60" s="157">
        <f>IF(D11="","-",+C59+1)</f>
        <v>2052</v>
      </c>
      <c r="D60" s="163">
        <f>IF(F59+SUM(E$17:E59)=D$10,F59,D$10-SUM(E$17:E59))</f>
        <v>284257.52380952431</v>
      </c>
      <c r="E60" s="164">
        <f>IF(+I14&lt;F59,I14,D60)</f>
        <v>272763.45238095237</v>
      </c>
      <c r="F60" s="163">
        <f t="shared" si="12"/>
        <v>11494.071428571944</v>
      </c>
      <c r="G60" s="165">
        <f t="shared" si="13"/>
        <v>288734.74491317902</v>
      </c>
      <c r="H60" s="147">
        <f t="shared" si="14"/>
        <v>288734.74491317902</v>
      </c>
      <c r="I60" s="160">
        <f t="shared" si="16"/>
        <v>0</v>
      </c>
      <c r="J60" s="160"/>
      <c r="K60" s="335"/>
      <c r="L60" s="162">
        <f t="shared" si="17"/>
        <v>0</v>
      </c>
      <c r="M60" s="335"/>
      <c r="N60" s="162">
        <f t="shared" si="18"/>
        <v>0</v>
      </c>
      <c r="O60" s="162">
        <f t="shared" si="19"/>
        <v>0</v>
      </c>
      <c r="P60" s="4"/>
    </row>
    <row r="61" spans="2:16">
      <c r="B61" s="9" t="str">
        <f t="shared" si="5"/>
        <v/>
      </c>
      <c r="C61" s="157">
        <f>IF(D11="","-",+C60+1)</f>
        <v>2053</v>
      </c>
      <c r="D61" s="163">
        <f>IF(F60+SUM(E$17:E60)=D$10,F60,D$10-SUM(E$17:E60))</f>
        <v>11494.071428571944</v>
      </c>
      <c r="E61" s="164">
        <f>IF(+I14&lt;F60,I14,D61)</f>
        <v>11494.071428571944</v>
      </c>
      <c r="F61" s="163">
        <f t="shared" si="12"/>
        <v>0</v>
      </c>
      <c r="G61" s="165">
        <f t="shared" si="13"/>
        <v>12114.778738786934</v>
      </c>
      <c r="H61" s="147">
        <f t="shared" si="14"/>
        <v>12114.778738786934</v>
      </c>
      <c r="I61" s="160">
        <f t="shared" si="16"/>
        <v>0</v>
      </c>
      <c r="J61" s="160"/>
      <c r="K61" s="335"/>
      <c r="L61" s="162">
        <f t="shared" si="17"/>
        <v>0</v>
      </c>
      <c r="M61" s="335"/>
      <c r="N61" s="162">
        <f t="shared" si="18"/>
        <v>0</v>
      </c>
      <c r="O61" s="162">
        <f t="shared" si="19"/>
        <v>0</v>
      </c>
      <c r="P61" s="4"/>
    </row>
    <row r="62" spans="2:16">
      <c r="B62" s="9" t="str">
        <f t="shared" si="5"/>
        <v/>
      </c>
      <c r="C62" s="157">
        <f>IF(D11="","-",+C61+1)</f>
        <v>2054</v>
      </c>
      <c r="D62" s="163">
        <f>IF(F61+SUM(E$17:E61)=D$10,F61,D$10-SUM(E$17:E61))</f>
        <v>0</v>
      </c>
      <c r="E62" s="164">
        <f>IF(+I14&lt;F61,I14,D62)</f>
        <v>0</v>
      </c>
      <c r="F62" s="163">
        <f t="shared" si="12"/>
        <v>0</v>
      </c>
      <c r="G62" s="165">
        <f t="shared" si="13"/>
        <v>0</v>
      </c>
      <c r="H62" s="147">
        <f t="shared" si="14"/>
        <v>0</v>
      </c>
      <c r="I62" s="160">
        <f t="shared" si="16"/>
        <v>0</v>
      </c>
      <c r="J62" s="160"/>
      <c r="K62" s="335"/>
      <c r="L62" s="162">
        <f t="shared" si="17"/>
        <v>0</v>
      </c>
      <c r="M62" s="335"/>
      <c r="N62" s="162">
        <f t="shared" si="18"/>
        <v>0</v>
      </c>
      <c r="O62" s="162">
        <f t="shared" si="19"/>
        <v>0</v>
      </c>
      <c r="P62" s="4"/>
    </row>
    <row r="63" spans="2:16">
      <c r="B63" s="9" t="str">
        <f t="shared" si="5"/>
        <v/>
      </c>
      <c r="C63" s="157">
        <f>IF(D11="","-",+C62+1)</f>
        <v>2055</v>
      </c>
      <c r="D63" s="163">
        <f>IF(F62+SUM(E$17:E62)=D$10,F62,D$10-SUM(E$17:E62))</f>
        <v>0</v>
      </c>
      <c r="E63" s="164">
        <f>IF(+I14&lt;F62,I14,D63)</f>
        <v>0</v>
      </c>
      <c r="F63" s="163">
        <f t="shared" si="12"/>
        <v>0</v>
      </c>
      <c r="G63" s="165">
        <f t="shared" si="13"/>
        <v>0</v>
      </c>
      <c r="H63" s="147">
        <f t="shared" si="14"/>
        <v>0</v>
      </c>
      <c r="I63" s="160">
        <f t="shared" si="16"/>
        <v>0</v>
      </c>
      <c r="J63" s="160"/>
      <c r="K63" s="335"/>
      <c r="L63" s="162">
        <f t="shared" si="17"/>
        <v>0</v>
      </c>
      <c r="M63" s="335"/>
      <c r="N63" s="162">
        <f t="shared" si="18"/>
        <v>0</v>
      </c>
      <c r="O63" s="162">
        <f t="shared" si="19"/>
        <v>0</v>
      </c>
      <c r="P63" s="4"/>
    </row>
    <row r="64" spans="2:16">
      <c r="B64" s="9" t="str">
        <f t="shared" si="5"/>
        <v/>
      </c>
      <c r="C64" s="157">
        <f>IF(D11="","-",+C63+1)</f>
        <v>2056</v>
      </c>
      <c r="D64" s="163">
        <f>IF(F63+SUM(E$17:E63)=D$10,F63,D$10-SUM(E$17:E63))</f>
        <v>0</v>
      </c>
      <c r="E64" s="164">
        <f>IF(+I14&lt;F63,I14,D64)</f>
        <v>0</v>
      </c>
      <c r="F64" s="163">
        <f t="shared" si="12"/>
        <v>0</v>
      </c>
      <c r="G64" s="165">
        <f t="shared" si="13"/>
        <v>0</v>
      </c>
      <c r="H64" s="147">
        <f t="shared" si="14"/>
        <v>0</v>
      </c>
      <c r="I64" s="160">
        <f t="shared" si="16"/>
        <v>0</v>
      </c>
      <c r="J64" s="160"/>
      <c r="K64" s="335"/>
      <c r="L64" s="162">
        <f t="shared" si="17"/>
        <v>0</v>
      </c>
      <c r="M64" s="335"/>
      <c r="N64" s="162">
        <f t="shared" si="18"/>
        <v>0</v>
      </c>
      <c r="O64" s="162">
        <f t="shared" si="19"/>
        <v>0</v>
      </c>
      <c r="P64" s="4"/>
    </row>
    <row r="65" spans="2:16">
      <c r="B65" s="9" t="str">
        <f t="shared" si="5"/>
        <v/>
      </c>
      <c r="C65" s="157">
        <f>IF(D11="","-",+C64+1)</f>
        <v>2057</v>
      </c>
      <c r="D65" s="163">
        <f>IF(F64+SUM(E$17:E64)=D$10,F64,D$10-SUM(E$17:E64))</f>
        <v>0</v>
      </c>
      <c r="E65" s="164">
        <f>IF(+I14&lt;F64,I14,D65)</f>
        <v>0</v>
      </c>
      <c r="F65" s="163">
        <f t="shared" si="12"/>
        <v>0</v>
      </c>
      <c r="G65" s="165">
        <f t="shared" si="13"/>
        <v>0</v>
      </c>
      <c r="H65" s="147">
        <f t="shared" si="14"/>
        <v>0</v>
      </c>
      <c r="I65" s="160">
        <f t="shared" si="16"/>
        <v>0</v>
      </c>
      <c r="J65" s="160"/>
      <c r="K65" s="335"/>
      <c r="L65" s="162">
        <f t="shared" si="17"/>
        <v>0</v>
      </c>
      <c r="M65" s="335"/>
      <c r="N65" s="162">
        <f t="shared" si="18"/>
        <v>0</v>
      </c>
      <c r="O65" s="162">
        <f t="shared" si="19"/>
        <v>0</v>
      </c>
      <c r="P65" s="4"/>
    </row>
    <row r="66" spans="2:16">
      <c r="B66" s="9" t="str">
        <f t="shared" si="5"/>
        <v/>
      </c>
      <c r="C66" s="157">
        <f>IF(D11="","-",+C65+1)</f>
        <v>2058</v>
      </c>
      <c r="D66" s="163">
        <f>IF(F65+SUM(E$17:E65)=D$10,F65,D$10-SUM(E$17:E65))</f>
        <v>0</v>
      </c>
      <c r="E66" s="164">
        <f>IF(+I14&lt;F65,I14,D66)</f>
        <v>0</v>
      </c>
      <c r="F66" s="163">
        <f t="shared" si="12"/>
        <v>0</v>
      </c>
      <c r="G66" s="165">
        <f t="shared" si="13"/>
        <v>0</v>
      </c>
      <c r="H66" s="147">
        <f t="shared" si="14"/>
        <v>0</v>
      </c>
      <c r="I66" s="160">
        <f t="shared" si="16"/>
        <v>0</v>
      </c>
      <c r="J66" s="160"/>
      <c r="K66" s="335"/>
      <c r="L66" s="162">
        <f t="shared" si="17"/>
        <v>0</v>
      </c>
      <c r="M66" s="335"/>
      <c r="N66" s="162">
        <f t="shared" si="18"/>
        <v>0</v>
      </c>
      <c r="O66" s="162">
        <f t="shared" si="19"/>
        <v>0</v>
      </c>
      <c r="P66" s="4"/>
    </row>
    <row r="67" spans="2:16">
      <c r="B67" s="9" t="str">
        <f t="shared" si="5"/>
        <v/>
      </c>
      <c r="C67" s="157">
        <f>IF(D11="","-",+C66+1)</f>
        <v>2059</v>
      </c>
      <c r="D67" s="163">
        <f>IF(F66+SUM(E$17:E66)=D$10,F66,D$10-SUM(E$17:E66))</f>
        <v>0</v>
      </c>
      <c r="E67" s="164">
        <f>IF(+I14&lt;F66,I14,D67)</f>
        <v>0</v>
      </c>
      <c r="F67" s="163">
        <f t="shared" si="12"/>
        <v>0</v>
      </c>
      <c r="G67" s="165">
        <f t="shared" si="13"/>
        <v>0</v>
      </c>
      <c r="H67" s="147">
        <f t="shared" si="14"/>
        <v>0</v>
      </c>
      <c r="I67" s="160">
        <f t="shared" si="16"/>
        <v>0</v>
      </c>
      <c r="J67" s="160"/>
      <c r="K67" s="335"/>
      <c r="L67" s="162">
        <f t="shared" si="17"/>
        <v>0</v>
      </c>
      <c r="M67" s="335"/>
      <c r="N67" s="162">
        <f t="shared" si="18"/>
        <v>0</v>
      </c>
      <c r="O67" s="162">
        <f t="shared" si="19"/>
        <v>0</v>
      </c>
      <c r="P67" s="4"/>
    </row>
    <row r="68" spans="2:16">
      <c r="B68" s="9" t="str">
        <f t="shared" si="5"/>
        <v/>
      </c>
      <c r="C68" s="157">
        <f>IF(D11="","-",+C67+1)</f>
        <v>2060</v>
      </c>
      <c r="D68" s="163">
        <f>IF(F67+SUM(E$17:E67)=D$10,F67,D$10-SUM(E$17:E67))</f>
        <v>0</v>
      </c>
      <c r="E68" s="164">
        <f>IF(+I14&lt;F67,I14,D68)</f>
        <v>0</v>
      </c>
      <c r="F68" s="163">
        <f t="shared" si="12"/>
        <v>0</v>
      </c>
      <c r="G68" s="165">
        <f t="shared" si="13"/>
        <v>0</v>
      </c>
      <c r="H68" s="147">
        <f t="shared" si="14"/>
        <v>0</v>
      </c>
      <c r="I68" s="160">
        <f t="shared" si="16"/>
        <v>0</v>
      </c>
      <c r="J68" s="160"/>
      <c r="K68" s="335"/>
      <c r="L68" s="162">
        <f t="shared" si="17"/>
        <v>0</v>
      </c>
      <c r="M68" s="335"/>
      <c r="N68" s="162">
        <f t="shared" si="18"/>
        <v>0</v>
      </c>
      <c r="O68" s="162">
        <f t="shared" si="19"/>
        <v>0</v>
      </c>
      <c r="P68" s="4"/>
    </row>
    <row r="69" spans="2:16">
      <c r="B69" s="9" t="str">
        <f t="shared" si="5"/>
        <v/>
      </c>
      <c r="C69" s="157">
        <f>IF(D11="","-",+C68+1)</f>
        <v>2061</v>
      </c>
      <c r="D69" s="163">
        <f>IF(F68+SUM(E$17:E68)=D$10,F68,D$10-SUM(E$17:E68))</f>
        <v>0</v>
      </c>
      <c r="E69" s="164">
        <f>IF(+I14&lt;F68,I14,D69)</f>
        <v>0</v>
      </c>
      <c r="F69" s="163">
        <f t="shared" si="12"/>
        <v>0</v>
      </c>
      <c r="G69" s="165">
        <f t="shared" si="13"/>
        <v>0</v>
      </c>
      <c r="H69" s="147">
        <f t="shared" si="14"/>
        <v>0</v>
      </c>
      <c r="I69" s="160">
        <f t="shared" si="16"/>
        <v>0</v>
      </c>
      <c r="J69" s="160"/>
      <c r="K69" s="335"/>
      <c r="L69" s="162">
        <f t="shared" si="17"/>
        <v>0</v>
      </c>
      <c r="M69" s="335"/>
      <c r="N69" s="162">
        <f t="shared" si="18"/>
        <v>0</v>
      </c>
      <c r="O69" s="162">
        <f t="shared" si="19"/>
        <v>0</v>
      </c>
      <c r="P69" s="4"/>
    </row>
    <row r="70" spans="2:16">
      <c r="B70" s="9" t="str">
        <f t="shared" si="5"/>
        <v/>
      </c>
      <c r="C70" s="157">
        <f>IF(D11="","-",+C69+1)</f>
        <v>2062</v>
      </c>
      <c r="D70" s="163">
        <f>IF(F69+SUM(E$17:E69)=D$10,F69,D$10-SUM(E$17:E69))</f>
        <v>0</v>
      </c>
      <c r="E70" s="164">
        <f>IF(+I14&lt;F69,I14,D70)</f>
        <v>0</v>
      </c>
      <c r="F70" s="163">
        <f t="shared" si="12"/>
        <v>0</v>
      </c>
      <c r="G70" s="165">
        <f t="shared" si="13"/>
        <v>0</v>
      </c>
      <c r="H70" s="147">
        <f t="shared" si="14"/>
        <v>0</v>
      </c>
      <c r="I70" s="160">
        <f t="shared" si="16"/>
        <v>0</v>
      </c>
      <c r="J70" s="160"/>
      <c r="K70" s="335"/>
      <c r="L70" s="162">
        <f t="shared" si="17"/>
        <v>0</v>
      </c>
      <c r="M70" s="335"/>
      <c r="N70" s="162">
        <f t="shared" si="18"/>
        <v>0</v>
      </c>
      <c r="O70" s="162">
        <f t="shared" si="19"/>
        <v>0</v>
      </c>
      <c r="P70" s="4"/>
    </row>
    <row r="71" spans="2:16">
      <c r="B71" s="9" t="str">
        <f t="shared" si="5"/>
        <v/>
      </c>
      <c r="C71" s="157">
        <f>IF(D11="","-",+C70+1)</f>
        <v>2063</v>
      </c>
      <c r="D71" s="163">
        <f>IF(F70+SUM(E$17:E70)=D$10,F70,D$10-SUM(E$17:E70))</f>
        <v>0</v>
      </c>
      <c r="E71" s="164">
        <f>IF(+I14&lt;F70,I14,D71)</f>
        <v>0</v>
      </c>
      <c r="F71" s="163">
        <f t="shared" si="12"/>
        <v>0</v>
      </c>
      <c r="G71" s="165">
        <f t="shared" si="13"/>
        <v>0</v>
      </c>
      <c r="H71" s="147">
        <f t="shared" si="14"/>
        <v>0</v>
      </c>
      <c r="I71" s="160">
        <f t="shared" si="16"/>
        <v>0</v>
      </c>
      <c r="J71" s="160"/>
      <c r="K71" s="335"/>
      <c r="L71" s="162">
        <f t="shared" si="17"/>
        <v>0</v>
      </c>
      <c r="M71" s="335"/>
      <c r="N71" s="162">
        <f t="shared" si="18"/>
        <v>0</v>
      </c>
      <c r="O71" s="162">
        <f t="shared" si="19"/>
        <v>0</v>
      </c>
      <c r="P71" s="4"/>
    </row>
    <row r="72" spans="2:16" ht="13.5" thickBot="1">
      <c r="B72" s="9" t="str">
        <f t="shared" si="5"/>
        <v/>
      </c>
      <c r="C72" s="168">
        <f>IF(D11="","-",+C71+1)</f>
        <v>2064</v>
      </c>
      <c r="D72" s="169">
        <f>IF(F71+SUM(E$17:E71)=D$10,F71,D$10-SUM(E$17:E71))</f>
        <v>0</v>
      </c>
      <c r="E72" s="170">
        <f>IF(+I14&lt;F71,I14,D72)</f>
        <v>0</v>
      </c>
      <c r="F72" s="169">
        <f t="shared" si="12"/>
        <v>0</v>
      </c>
      <c r="G72" s="169">
        <f t="shared" si="13"/>
        <v>0</v>
      </c>
      <c r="H72" s="169">
        <f t="shared" si="14"/>
        <v>0</v>
      </c>
      <c r="I72" s="172">
        <f t="shared" si="16"/>
        <v>0</v>
      </c>
      <c r="J72" s="160"/>
      <c r="K72" s="336"/>
      <c r="L72" s="173">
        <f t="shared" si="17"/>
        <v>0</v>
      </c>
      <c r="M72" s="336"/>
      <c r="N72" s="173">
        <f t="shared" si="18"/>
        <v>0</v>
      </c>
      <c r="O72" s="173">
        <f t="shared" si="19"/>
        <v>0</v>
      </c>
      <c r="P72" s="4"/>
    </row>
    <row r="73" spans="2:16">
      <c r="C73" s="158" t="s">
        <v>72</v>
      </c>
      <c r="D73" s="115"/>
      <c r="E73" s="115">
        <f>SUM(E17:E72)</f>
        <v>11456064.999999993</v>
      </c>
      <c r="F73" s="115"/>
      <c r="G73" s="115">
        <f>SUM(G17:G72)</f>
        <v>135097812.43573102</v>
      </c>
      <c r="H73" s="115">
        <f>SUM(H17:H72)</f>
        <v>42346566.773668028</v>
      </c>
      <c r="I73" s="115">
        <f>SUM(I17:I72)</f>
        <v>17251454.337937012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4" t="str">
        <f ca="1">P1</f>
        <v>PSO Project 3 of 28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2018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v>1515588.4402280932</v>
      </c>
      <c r="N87" s="202">
        <v>1515588.4402280932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v>1233399.824885203</v>
      </c>
      <c r="N88" s="204">
        <v>1233399.824885203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WFEC New 138 kV Ties: Sayre to Erick (WFEC) Line &amp; Atoka and Tupelo station work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-282188.61534289015</v>
      </c>
      <c r="N89" s="207">
        <f>+N88-N87</f>
        <v>-282188.61534289015</v>
      </c>
      <c r="O89" s="208">
        <f>+O88-O87</f>
        <v>0</v>
      </c>
      <c r="P89" s="1"/>
    </row>
    <row r="90" spans="1:16" ht="13.5" thickBot="1">
      <c r="C90" s="174"/>
      <c r="D90" s="177">
        <f>D8</f>
        <v>0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 t="str">
        <f>+D9</f>
        <v>TP2006054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138">
        <v>11456065</v>
      </c>
      <c r="E92" s="22" t="s">
        <v>89</v>
      </c>
      <c r="H92" s="139"/>
      <c r="I92" s="139"/>
      <c r="J92" s="140">
        <f>+'PSO.WS.G.BPU.ATRR.True-up'!M16</f>
        <v>2018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2009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10</v>
      </c>
      <c r="E94" s="141" t="s">
        <v>51</v>
      </c>
      <c r="F94" s="139"/>
      <c r="G94" s="139"/>
      <c r="J94" s="145">
        <f>'PSO.WS.G.BPU.ATRR.True-up'!$F$81</f>
        <v>0.10273556682691798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43</v>
      </c>
      <c r="E95" s="141" t="s">
        <v>54</v>
      </c>
      <c r="F95" s="139"/>
      <c r="G95" s="139"/>
      <c r="J95" s="145">
        <f>IF(H87="",J94,'PSO.WS.G.BPU.ATRR.True-up'!$F$80)</f>
        <v>0.10273556682691798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266420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277</v>
      </c>
      <c r="I97" s="339" t="s">
        <v>278</v>
      </c>
      <c r="J97" s="214" t="s">
        <v>93</v>
      </c>
      <c r="K97" s="216"/>
      <c r="L97" s="339" t="s">
        <v>203</v>
      </c>
      <c r="M97" s="151" t="s">
        <v>94</v>
      </c>
      <c r="N97" s="339" t="s">
        <v>203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2009</v>
      </c>
      <c r="D99" s="366">
        <v>0</v>
      </c>
      <c r="E99" s="368">
        <v>26281</v>
      </c>
      <c r="F99" s="371">
        <v>8804059</v>
      </c>
      <c r="G99" s="373">
        <v>4402030</v>
      </c>
      <c r="H99" s="374">
        <v>669894</v>
      </c>
      <c r="I99" s="375">
        <v>669894</v>
      </c>
      <c r="J99" s="162">
        <f t="shared" ref="J99:J130" si="20">+I99-H99</f>
        <v>0</v>
      </c>
      <c r="K99" s="162"/>
      <c r="L99" s="337">
        <f t="shared" ref="L99:L104" si="21">H99</f>
        <v>669894</v>
      </c>
      <c r="M99" s="161">
        <f t="shared" ref="M99:M130" si="22">IF(L99&lt;&gt;0,+H99-L99,0)</f>
        <v>0</v>
      </c>
      <c r="N99" s="337">
        <f t="shared" ref="N99:N104" si="23">I99</f>
        <v>669894</v>
      </c>
      <c r="O99" s="161">
        <f t="shared" ref="O99:O130" si="24">IF(N99&lt;&gt;0,+I99-N99,0)</f>
        <v>0</v>
      </c>
      <c r="P99" s="161">
        <f t="shared" ref="P99:P130" si="25">+O99-M99</f>
        <v>0</v>
      </c>
    </row>
    <row r="100" spans="1:16">
      <c r="B100" s="9" t="str">
        <f>IF(D100=F99,"","IU")</f>
        <v>IU</v>
      </c>
      <c r="C100" s="157">
        <f>IF(D93="","-",+C99+1)</f>
        <v>2010</v>
      </c>
      <c r="D100" s="366">
        <v>12205867</v>
      </c>
      <c r="E100" s="368">
        <v>239846</v>
      </c>
      <c r="F100" s="371">
        <v>11966021</v>
      </c>
      <c r="G100" s="371">
        <v>12085944</v>
      </c>
      <c r="H100" s="368">
        <v>2183449.7644146364</v>
      </c>
      <c r="I100" s="370">
        <v>2183449.7644146364</v>
      </c>
      <c r="J100" s="162">
        <f t="shared" si="20"/>
        <v>0</v>
      </c>
      <c r="K100" s="162"/>
      <c r="L100" s="380">
        <f t="shared" si="21"/>
        <v>2183449.7644146364</v>
      </c>
      <c r="M100" s="381">
        <f t="shared" si="22"/>
        <v>0</v>
      </c>
      <c r="N100" s="380">
        <f t="shared" si="23"/>
        <v>2183449.7644146364</v>
      </c>
      <c r="O100" s="162">
        <f t="shared" si="24"/>
        <v>0</v>
      </c>
      <c r="P100" s="162">
        <f t="shared" si="25"/>
        <v>0</v>
      </c>
    </row>
    <row r="101" spans="1:16">
      <c r="B101" s="9" t="str">
        <f t="shared" ref="B101:B154" si="26">IF(D101=F100,"","IU")</f>
        <v/>
      </c>
      <c r="C101" s="157">
        <f>IF(D93="","-",+C100+1)</f>
        <v>2011</v>
      </c>
      <c r="D101" s="366">
        <v>11966021</v>
      </c>
      <c r="E101" s="368">
        <v>235234</v>
      </c>
      <c r="F101" s="371">
        <v>11730787</v>
      </c>
      <c r="G101" s="371">
        <v>11848404</v>
      </c>
      <c r="H101" s="368">
        <v>1891800.0972614796</v>
      </c>
      <c r="I101" s="370">
        <v>1891800.0972614796</v>
      </c>
      <c r="J101" s="162">
        <f t="shared" si="20"/>
        <v>0</v>
      </c>
      <c r="K101" s="162"/>
      <c r="L101" s="380">
        <f t="shared" si="21"/>
        <v>1891800.0972614796</v>
      </c>
      <c r="M101" s="381">
        <f t="shared" si="22"/>
        <v>0</v>
      </c>
      <c r="N101" s="380">
        <f t="shared" si="23"/>
        <v>1891800.0972614796</v>
      </c>
      <c r="O101" s="162">
        <f t="shared" si="24"/>
        <v>0</v>
      </c>
      <c r="P101" s="162">
        <f t="shared" si="25"/>
        <v>0</v>
      </c>
    </row>
    <row r="102" spans="1:16">
      <c r="B102" s="9" t="str">
        <f t="shared" si="26"/>
        <v/>
      </c>
      <c r="C102" s="157">
        <f>IF(D93="","-",+C101+1)</f>
        <v>2012</v>
      </c>
      <c r="D102" s="366">
        <v>11730787</v>
      </c>
      <c r="E102" s="368">
        <v>235234</v>
      </c>
      <c r="F102" s="371">
        <v>11495553</v>
      </c>
      <c r="G102" s="371">
        <v>11613170</v>
      </c>
      <c r="H102" s="368">
        <v>1905852.1655461292</v>
      </c>
      <c r="I102" s="370">
        <v>1905852.1655461292</v>
      </c>
      <c r="J102" s="162">
        <v>0</v>
      </c>
      <c r="K102" s="162"/>
      <c r="L102" s="380">
        <f t="shared" si="21"/>
        <v>1905852.1655461292</v>
      </c>
      <c r="M102" s="381">
        <f t="shared" ref="M102:M107" si="27">IF(L102&lt;&gt;0,+H102-L102,0)</f>
        <v>0</v>
      </c>
      <c r="N102" s="380">
        <f t="shared" si="23"/>
        <v>1905852.1655461292</v>
      </c>
      <c r="O102" s="162">
        <f t="shared" ref="O102:O107" si="28">IF(N102&lt;&gt;0,+I102-N102,0)</f>
        <v>0</v>
      </c>
      <c r="P102" s="162">
        <f t="shared" ref="P102:P107" si="29">+O102-M102</f>
        <v>0</v>
      </c>
    </row>
    <row r="103" spans="1:16">
      <c r="B103" s="9" t="str">
        <f t="shared" si="26"/>
        <v/>
      </c>
      <c r="C103" s="157">
        <f>IF(D93="","-",+C102+1)</f>
        <v>2013</v>
      </c>
      <c r="D103" s="366">
        <v>11495553</v>
      </c>
      <c r="E103" s="368">
        <v>235234</v>
      </c>
      <c r="F103" s="371">
        <v>11260319</v>
      </c>
      <c r="G103" s="371">
        <v>11377936</v>
      </c>
      <c r="H103" s="368">
        <v>1872969.4877104962</v>
      </c>
      <c r="I103" s="370">
        <v>1872969.4877104962</v>
      </c>
      <c r="J103" s="162">
        <v>0</v>
      </c>
      <c r="K103" s="162"/>
      <c r="L103" s="380">
        <f t="shared" si="21"/>
        <v>1872969.4877104962</v>
      </c>
      <c r="M103" s="381">
        <f t="shared" si="27"/>
        <v>0</v>
      </c>
      <c r="N103" s="380">
        <f t="shared" si="23"/>
        <v>1872969.4877104962</v>
      </c>
      <c r="O103" s="162">
        <f t="shared" si="28"/>
        <v>0</v>
      </c>
      <c r="P103" s="162">
        <f t="shared" si="29"/>
        <v>0</v>
      </c>
    </row>
    <row r="104" spans="1:16">
      <c r="B104" s="9" t="str">
        <f t="shared" si="26"/>
        <v>IU</v>
      </c>
      <c r="C104" s="157">
        <f>IF(D93="","-",+C103+1)</f>
        <v>2014</v>
      </c>
      <c r="D104" s="366">
        <v>10484236</v>
      </c>
      <c r="E104" s="368">
        <v>220309</v>
      </c>
      <c r="F104" s="371">
        <v>10263927</v>
      </c>
      <c r="G104" s="371">
        <v>10374081.5</v>
      </c>
      <c r="H104" s="368">
        <v>1678862.4521722798</v>
      </c>
      <c r="I104" s="370">
        <v>1678862.4521722798</v>
      </c>
      <c r="J104" s="162">
        <v>0</v>
      </c>
      <c r="K104" s="162"/>
      <c r="L104" s="380">
        <f t="shared" si="21"/>
        <v>1678862.4521722798</v>
      </c>
      <c r="M104" s="381">
        <f t="shared" si="27"/>
        <v>0</v>
      </c>
      <c r="N104" s="380">
        <f t="shared" si="23"/>
        <v>1678862.4521722798</v>
      </c>
      <c r="O104" s="162">
        <f t="shared" si="28"/>
        <v>0</v>
      </c>
      <c r="P104" s="162">
        <f t="shared" si="29"/>
        <v>0</v>
      </c>
    </row>
    <row r="105" spans="1:16">
      <c r="B105" s="9" t="str">
        <f t="shared" si="26"/>
        <v/>
      </c>
      <c r="C105" s="157">
        <f>IF(D93="","-",+C104+1)</f>
        <v>2015</v>
      </c>
      <c r="D105" s="366">
        <v>10263927</v>
      </c>
      <c r="E105" s="368">
        <v>220309</v>
      </c>
      <c r="F105" s="371">
        <v>10043618</v>
      </c>
      <c r="G105" s="371">
        <v>10153772.5</v>
      </c>
      <c r="H105" s="368">
        <v>1605709.6172709188</v>
      </c>
      <c r="I105" s="370">
        <v>1605709.6172709188</v>
      </c>
      <c r="J105" s="162">
        <f t="shared" si="20"/>
        <v>0</v>
      </c>
      <c r="K105" s="162"/>
      <c r="L105" s="380">
        <f>H105</f>
        <v>1605709.6172709188</v>
      </c>
      <c r="M105" s="381">
        <f t="shared" si="27"/>
        <v>0</v>
      </c>
      <c r="N105" s="380">
        <f>I105</f>
        <v>1605709.6172709188</v>
      </c>
      <c r="O105" s="162">
        <f t="shared" si="28"/>
        <v>0</v>
      </c>
      <c r="P105" s="162">
        <f t="shared" si="29"/>
        <v>0</v>
      </c>
    </row>
    <row r="106" spans="1:16">
      <c r="B106" s="9" t="str">
        <f t="shared" si="26"/>
        <v/>
      </c>
      <c r="C106" s="157">
        <f>IF(D93="","-",+C105+1)</f>
        <v>2016</v>
      </c>
      <c r="D106" s="366">
        <v>10043618</v>
      </c>
      <c r="E106" s="368">
        <v>249045</v>
      </c>
      <c r="F106" s="371">
        <v>9794573</v>
      </c>
      <c r="G106" s="371">
        <v>9919095.5</v>
      </c>
      <c r="H106" s="368">
        <v>1527772.6245386968</v>
      </c>
      <c r="I106" s="370">
        <v>1527772.6245386968</v>
      </c>
      <c r="J106" s="162">
        <v>0</v>
      </c>
      <c r="K106" s="162"/>
      <c r="L106" s="380">
        <f>H106</f>
        <v>1527772.6245386968</v>
      </c>
      <c r="M106" s="381">
        <f t="shared" si="27"/>
        <v>0</v>
      </c>
      <c r="N106" s="380">
        <f>I106</f>
        <v>1527772.6245386968</v>
      </c>
      <c r="O106" s="162">
        <f t="shared" si="28"/>
        <v>0</v>
      </c>
      <c r="P106" s="162">
        <f t="shared" si="29"/>
        <v>0</v>
      </c>
    </row>
    <row r="107" spans="1:16">
      <c r="B107" s="9" t="str">
        <f t="shared" si="26"/>
        <v/>
      </c>
      <c r="C107" s="157">
        <f>IF(D93="","-",+C106+1)</f>
        <v>2017</v>
      </c>
      <c r="D107" s="366">
        <v>9794573</v>
      </c>
      <c r="E107" s="368">
        <v>249045</v>
      </c>
      <c r="F107" s="371">
        <v>9545528</v>
      </c>
      <c r="G107" s="371">
        <v>9670050.5</v>
      </c>
      <c r="H107" s="368">
        <v>1475715.2889659985</v>
      </c>
      <c r="I107" s="370">
        <v>1475715.2889659985</v>
      </c>
      <c r="J107" s="162">
        <f t="shared" si="20"/>
        <v>0</v>
      </c>
      <c r="K107" s="162"/>
      <c r="L107" s="380">
        <f>H107</f>
        <v>1475715.2889659985</v>
      </c>
      <c r="M107" s="381">
        <f t="shared" si="27"/>
        <v>0</v>
      </c>
      <c r="N107" s="380">
        <f>I107</f>
        <v>1475715.2889659985</v>
      </c>
      <c r="O107" s="162">
        <f t="shared" si="28"/>
        <v>0</v>
      </c>
      <c r="P107" s="162">
        <f t="shared" si="29"/>
        <v>0</v>
      </c>
    </row>
    <row r="108" spans="1:16">
      <c r="B108" s="9" t="str">
        <f t="shared" si="26"/>
        <v/>
      </c>
      <c r="C108" s="157">
        <f>IF(D93="","-",+C107+1)</f>
        <v>2018</v>
      </c>
      <c r="D108" s="158">
        <f>IF(F107+SUM(E$99:E107)=D$92,F107,D$92-SUM(E$99:E107))</f>
        <v>9545528</v>
      </c>
      <c r="E108" s="165">
        <f>IF(+J96&lt;F107,J96,D108)</f>
        <v>266420</v>
      </c>
      <c r="F108" s="163">
        <f t="shared" ref="F108:F130" si="30">+D108-E108</f>
        <v>9279108</v>
      </c>
      <c r="G108" s="163">
        <f t="shared" ref="G108:G130" si="31">+(F108+D108)/2</f>
        <v>9412318</v>
      </c>
      <c r="H108" s="167">
        <f t="shared" ref="H108:H154" si="32">+J$94*G108+E108</f>
        <v>1233399.824885203</v>
      </c>
      <c r="I108" s="317">
        <f t="shared" ref="I108:I154" si="33">+J$95*G108+E108</f>
        <v>1233399.824885203</v>
      </c>
      <c r="J108" s="162">
        <f t="shared" si="20"/>
        <v>0</v>
      </c>
      <c r="K108" s="162"/>
      <c r="L108" s="335"/>
      <c r="M108" s="162">
        <f t="shared" si="22"/>
        <v>0</v>
      </c>
      <c r="N108" s="335"/>
      <c r="O108" s="162">
        <f t="shared" si="24"/>
        <v>0</v>
      </c>
      <c r="P108" s="162">
        <f t="shared" si="25"/>
        <v>0</v>
      </c>
    </row>
    <row r="109" spans="1:16">
      <c r="B109" s="9" t="str">
        <f t="shared" si="26"/>
        <v/>
      </c>
      <c r="C109" s="157">
        <f>IF(D93="","-",+C108+1)</f>
        <v>2019</v>
      </c>
      <c r="D109" s="158">
        <f>IF(F108+SUM(E$99:E108)=D$92,F108,D$92-SUM(E$99:E108))</f>
        <v>9279108</v>
      </c>
      <c r="E109" s="165">
        <f>IF(+J96&lt;F108,J96,D109)</f>
        <v>266420</v>
      </c>
      <c r="F109" s="163">
        <f t="shared" si="30"/>
        <v>9012688</v>
      </c>
      <c r="G109" s="163">
        <f t="shared" si="31"/>
        <v>9145898</v>
      </c>
      <c r="H109" s="167">
        <f t="shared" si="32"/>
        <v>1206029.0151711754</v>
      </c>
      <c r="I109" s="317">
        <f t="shared" si="33"/>
        <v>1206029.0151711754</v>
      </c>
      <c r="J109" s="162">
        <f t="shared" si="20"/>
        <v>0</v>
      </c>
      <c r="K109" s="162"/>
      <c r="L109" s="335"/>
      <c r="M109" s="162">
        <f t="shared" si="22"/>
        <v>0</v>
      </c>
      <c r="N109" s="335"/>
      <c r="O109" s="162">
        <f t="shared" si="24"/>
        <v>0</v>
      </c>
      <c r="P109" s="162">
        <f t="shared" si="25"/>
        <v>0</v>
      </c>
    </row>
    <row r="110" spans="1:16">
      <c r="B110" s="9" t="str">
        <f t="shared" si="26"/>
        <v/>
      </c>
      <c r="C110" s="157">
        <f>IF(D93="","-",+C109+1)</f>
        <v>2020</v>
      </c>
      <c r="D110" s="158">
        <f>IF(F109+SUM(E$99:E109)=D$92,F109,D$92-SUM(E$99:E109))</f>
        <v>9012688</v>
      </c>
      <c r="E110" s="165">
        <f>IF(+J96&lt;F109,J96,D110)</f>
        <v>266420</v>
      </c>
      <c r="F110" s="163">
        <f t="shared" si="30"/>
        <v>8746268</v>
      </c>
      <c r="G110" s="163">
        <f t="shared" si="31"/>
        <v>8879478</v>
      </c>
      <c r="H110" s="167">
        <f t="shared" si="32"/>
        <v>1178658.2054571481</v>
      </c>
      <c r="I110" s="317">
        <f t="shared" si="33"/>
        <v>1178658.2054571481</v>
      </c>
      <c r="J110" s="162">
        <f t="shared" si="20"/>
        <v>0</v>
      </c>
      <c r="K110" s="162"/>
      <c r="L110" s="335"/>
      <c r="M110" s="162">
        <f t="shared" si="22"/>
        <v>0</v>
      </c>
      <c r="N110" s="335"/>
      <c r="O110" s="162">
        <f t="shared" si="24"/>
        <v>0</v>
      </c>
      <c r="P110" s="162">
        <f t="shared" si="25"/>
        <v>0</v>
      </c>
    </row>
    <row r="111" spans="1:16">
      <c r="B111" s="9" t="str">
        <f t="shared" si="26"/>
        <v/>
      </c>
      <c r="C111" s="157">
        <f>IF(D93="","-",+C110+1)</f>
        <v>2021</v>
      </c>
      <c r="D111" s="158">
        <f>IF(F110+SUM(E$99:E110)=D$92,F110,D$92-SUM(E$99:E110))</f>
        <v>8746268</v>
      </c>
      <c r="E111" s="165">
        <f>IF(+J96&lt;F110,J96,D111)</f>
        <v>266420</v>
      </c>
      <c r="F111" s="163">
        <f t="shared" si="30"/>
        <v>8479848</v>
      </c>
      <c r="G111" s="163">
        <f t="shared" si="31"/>
        <v>8613058</v>
      </c>
      <c r="H111" s="167">
        <f t="shared" si="32"/>
        <v>1151287.3957431205</v>
      </c>
      <c r="I111" s="317">
        <f t="shared" si="33"/>
        <v>1151287.3957431205</v>
      </c>
      <c r="J111" s="162">
        <f t="shared" si="20"/>
        <v>0</v>
      </c>
      <c r="K111" s="162"/>
      <c r="L111" s="335"/>
      <c r="M111" s="162">
        <f t="shared" si="22"/>
        <v>0</v>
      </c>
      <c r="N111" s="335"/>
      <c r="O111" s="162">
        <f t="shared" si="24"/>
        <v>0</v>
      </c>
      <c r="P111" s="162">
        <f t="shared" si="25"/>
        <v>0</v>
      </c>
    </row>
    <row r="112" spans="1:16">
      <c r="B112" s="9" t="str">
        <f t="shared" si="26"/>
        <v/>
      </c>
      <c r="C112" s="157">
        <f>IF(D93="","-",+C111+1)</f>
        <v>2022</v>
      </c>
      <c r="D112" s="158">
        <f>IF(F111+SUM(E$99:E111)=D$92,F111,D$92-SUM(E$99:E111))</f>
        <v>8479848</v>
      </c>
      <c r="E112" s="165">
        <f>IF(+J96&lt;F111,J96,D112)</f>
        <v>266420</v>
      </c>
      <c r="F112" s="163">
        <f t="shared" si="30"/>
        <v>8213428</v>
      </c>
      <c r="G112" s="163">
        <f t="shared" si="31"/>
        <v>8346638</v>
      </c>
      <c r="H112" s="167">
        <f t="shared" si="32"/>
        <v>1123916.586029093</v>
      </c>
      <c r="I112" s="317">
        <f t="shared" si="33"/>
        <v>1123916.586029093</v>
      </c>
      <c r="J112" s="162">
        <f t="shared" si="20"/>
        <v>0</v>
      </c>
      <c r="K112" s="162"/>
      <c r="L112" s="335"/>
      <c r="M112" s="162">
        <f t="shared" si="22"/>
        <v>0</v>
      </c>
      <c r="N112" s="335"/>
      <c r="O112" s="162">
        <f t="shared" si="24"/>
        <v>0</v>
      </c>
      <c r="P112" s="162">
        <f t="shared" si="25"/>
        <v>0</v>
      </c>
    </row>
    <row r="113" spans="2:16">
      <c r="B113" s="9" t="str">
        <f t="shared" si="26"/>
        <v/>
      </c>
      <c r="C113" s="157">
        <f>IF(D93="","-",+C112+1)</f>
        <v>2023</v>
      </c>
      <c r="D113" s="158">
        <f>IF(F112+SUM(E$99:E112)=D$92,F112,D$92-SUM(E$99:E112))</f>
        <v>8213428</v>
      </c>
      <c r="E113" s="165">
        <f>IF(+J96&lt;F112,J96,D113)</f>
        <v>266420</v>
      </c>
      <c r="F113" s="163">
        <f t="shared" si="30"/>
        <v>7947008</v>
      </c>
      <c r="G113" s="163">
        <f t="shared" si="31"/>
        <v>8080218</v>
      </c>
      <c r="H113" s="167">
        <f t="shared" si="32"/>
        <v>1096545.7763150656</v>
      </c>
      <c r="I113" s="317">
        <f t="shared" si="33"/>
        <v>1096545.7763150656</v>
      </c>
      <c r="J113" s="162">
        <f t="shared" si="20"/>
        <v>0</v>
      </c>
      <c r="K113" s="162"/>
      <c r="L113" s="335"/>
      <c r="M113" s="162">
        <f t="shared" si="22"/>
        <v>0</v>
      </c>
      <c r="N113" s="335"/>
      <c r="O113" s="162">
        <f t="shared" si="24"/>
        <v>0</v>
      </c>
      <c r="P113" s="162">
        <f t="shared" si="25"/>
        <v>0</v>
      </c>
    </row>
    <row r="114" spans="2:16">
      <c r="B114" s="9" t="str">
        <f t="shared" si="26"/>
        <v/>
      </c>
      <c r="C114" s="157">
        <f>IF(D93="","-",+C113+1)</f>
        <v>2024</v>
      </c>
      <c r="D114" s="158">
        <f>IF(F113+SUM(E$99:E113)=D$92,F113,D$92-SUM(E$99:E113))</f>
        <v>7947008</v>
      </c>
      <c r="E114" s="165">
        <f>IF(+J96&lt;F113,J96,D114)</f>
        <v>266420</v>
      </c>
      <c r="F114" s="163">
        <f t="shared" si="30"/>
        <v>7680588</v>
      </c>
      <c r="G114" s="163">
        <f t="shared" si="31"/>
        <v>7813798</v>
      </c>
      <c r="H114" s="167">
        <f t="shared" si="32"/>
        <v>1069174.9666010379</v>
      </c>
      <c r="I114" s="317">
        <f t="shared" si="33"/>
        <v>1069174.9666010379</v>
      </c>
      <c r="J114" s="162">
        <f t="shared" si="20"/>
        <v>0</v>
      </c>
      <c r="K114" s="162"/>
      <c r="L114" s="335"/>
      <c r="M114" s="162">
        <f t="shared" si="22"/>
        <v>0</v>
      </c>
      <c r="N114" s="335"/>
      <c r="O114" s="162">
        <f t="shared" si="24"/>
        <v>0</v>
      </c>
      <c r="P114" s="162">
        <f t="shared" si="25"/>
        <v>0</v>
      </c>
    </row>
    <row r="115" spans="2:16">
      <c r="B115" s="9" t="str">
        <f t="shared" si="26"/>
        <v/>
      </c>
      <c r="C115" s="157">
        <f>IF(D93="","-",+C114+1)</f>
        <v>2025</v>
      </c>
      <c r="D115" s="158">
        <f>IF(F114+SUM(E$99:E114)=D$92,F114,D$92-SUM(E$99:E114))</f>
        <v>7680588</v>
      </c>
      <c r="E115" s="165">
        <f>IF(+J96&lt;F114,J96,D115)</f>
        <v>266420</v>
      </c>
      <c r="F115" s="163">
        <f t="shared" si="30"/>
        <v>7414168</v>
      </c>
      <c r="G115" s="163">
        <f t="shared" si="31"/>
        <v>7547378</v>
      </c>
      <c r="H115" s="167">
        <f t="shared" si="32"/>
        <v>1041804.1568870106</v>
      </c>
      <c r="I115" s="317">
        <f t="shared" si="33"/>
        <v>1041804.1568870106</v>
      </c>
      <c r="J115" s="162">
        <f t="shared" si="20"/>
        <v>0</v>
      </c>
      <c r="K115" s="162"/>
      <c r="L115" s="335"/>
      <c r="M115" s="162">
        <f t="shared" si="22"/>
        <v>0</v>
      </c>
      <c r="N115" s="335"/>
      <c r="O115" s="162">
        <f t="shared" si="24"/>
        <v>0</v>
      </c>
      <c r="P115" s="162">
        <f t="shared" si="25"/>
        <v>0</v>
      </c>
    </row>
    <row r="116" spans="2:16">
      <c r="B116" s="9" t="str">
        <f t="shared" si="26"/>
        <v/>
      </c>
      <c r="C116" s="157">
        <f>IF(D93="","-",+C115+1)</f>
        <v>2026</v>
      </c>
      <c r="D116" s="158">
        <f>IF(F115+SUM(E$99:E115)=D$92,F115,D$92-SUM(E$99:E115))</f>
        <v>7414168</v>
      </c>
      <c r="E116" s="165">
        <f>IF(+J96&lt;F115,J96,D116)</f>
        <v>266420</v>
      </c>
      <c r="F116" s="163">
        <f t="shared" si="30"/>
        <v>7147748</v>
      </c>
      <c r="G116" s="163">
        <f t="shared" si="31"/>
        <v>7280958</v>
      </c>
      <c r="H116" s="167">
        <f t="shared" si="32"/>
        <v>1014433.3471729831</v>
      </c>
      <c r="I116" s="317">
        <f t="shared" si="33"/>
        <v>1014433.3471729831</v>
      </c>
      <c r="J116" s="162">
        <f t="shared" si="20"/>
        <v>0</v>
      </c>
      <c r="K116" s="162"/>
      <c r="L116" s="335"/>
      <c r="M116" s="162">
        <f t="shared" si="22"/>
        <v>0</v>
      </c>
      <c r="N116" s="335"/>
      <c r="O116" s="162">
        <f t="shared" si="24"/>
        <v>0</v>
      </c>
      <c r="P116" s="162">
        <f t="shared" si="25"/>
        <v>0</v>
      </c>
    </row>
    <row r="117" spans="2:16">
      <c r="B117" s="9" t="str">
        <f t="shared" si="26"/>
        <v/>
      </c>
      <c r="C117" s="157">
        <f>IF(D93="","-",+C116+1)</f>
        <v>2027</v>
      </c>
      <c r="D117" s="158">
        <f>IF(F116+SUM(E$99:E116)=D$92,F116,D$92-SUM(E$99:E116))</f>
        <v>7147748</v>
      </c>
      <c r="E117" s="165">
        <f>IF(+J96&lt;F116,J96,D117)</f>
        <v>266420</v>
      </c>
      <c r="F117" s="163">
        <f t="shared" si="30"/>
        <v>6881328</v>
      </c>
      <c r="G117" s="163">
        <f t="shared" si="31"/>
        <v>7014538</v>
      </c>
      <c r="H117" s="167">
        <f t="shared" si="32"/>
        <v>987062.53745895554</v>
      </c>
      <c r="I117" s="317">
        <f t="shared" si="33"/>
        <v>987062.53745895554</v>
      </c>
      <c r="J117" s="162">
        <f t="shared" si="20"/>
        <v>0</v>
      </c>
      <c r="K117" s="162"/>
      <c r="L117" s="335"/>
      <c r="M117" s="162">
        <f t="shared" si="22"/>
        <v>0</v>
      </c>
      <c r="N117" s="335"/>
      <c r="O117" s="162">
        <f t="shared" si="24"/>
        <v>0</v>
      </c>
      <c r="P117" s="162">
        <f t="shared" si="25"/>
        <v>0</v>
      </c>
    </row>
    <row r="118" spans="2:16">
      <c r="B118" s="9" t="str">
        <f t="shared" si="26"/>
        <v/>
      </c>
      <c r="C118" s="157">
        <f>IF(D93="","-",+C117+1)</f>
        <v>2028</v>
      </c>
      <c r="D118" s="158">
        <f>IF(F117+SUM(E$99:E117)=D$92,F117,D$92-SUM(E$99:E117))</f>
        <v>6881328</v>
      </c>
      <c r="E118" s="165">
        <f>IF(+J96&lt;F117,J96,D118)</f>
        <v>266420</v>
      </c>
      <c r="F118" s="163">
        <f t="shared" si="30"/>
        <v>6614908</v>
      </c>
      <c r="G118" s="163">
        <f t="shared" si="31"/>
        <v>6748118</v>
      </c>
      <c r="H118" s="167">
        <f t="shared" si="32"/>
        <v>959691.7277449281</v>
      </c>
      <c r="I118" s="317">
        <f t="shared" si="33"/>
        <v>959691.7277449281</v>
      </c>
      <c r="J118" s="162">
        <f t="shared" si="20"/>
        <v>0</v>
      </c>
      <c r="K118" s="162"/>
      <c r="L118" s="335"/>
      <c r="M118" s="162">
        <f t="shared" si="22"/>
        <v>0</v>
      </c>
      <c r="N118" s="335"/>
      <c r="O118" s="162">
        <f t="shared" si="24"/>
        <v>0</v>
      </c>
      <c r="P118" s="162">
        <f t="shared" si="25"/>
        <v>0</v>
      </c>
    </row>
    <row r="119" spans="2:16">
      <c r="B119" s="9" t="str">
        <f t="shared" si="26"/>
        <v/>
      </c>
      <c r="C119" s="157">
        <f>IF(D93="","-",+C118+1)</f>
        <v>2029</v>
      </c>
      <c r="D119" s="158">
        <f>IF(F118+SUM(E$99:E118)=D$92,F118,D$92-SUM(E$99:E118))</f>
        <v>6614908</v>
      </c>
      <c r="E119" s="165">
        <f>IF(+J96&lt;F118,J96,D119)</f>
        <v>266420</v>
      </c>
      <c r="F119" s="163">
        <f t="shared" si="30"/>
        <v>6348488</v>
      </c>
      <c r="G119" s="163">
        <f t="shared" si="31"/>
        <v>6481698</v>
      </c>
      <c r="H119" s="167">
        <f t="shared" si="32"/>
        <v>932320.91803090065</v>
      </c>
      <c r="I119" s="317">
        <f t="shared" si="33"/>
        <v>932320.91803090065</v>
      </c>
      <c r="J119" s="162">
        <f t="shared" si="20"/>
        <v>0</v>
      </c>
      <c r="K119" s="162"/>
      <c r="L119" s="335"/>
      <c r="M119" s="162">
        <f t="shared" si="22"/>
        <v>0</v>
      </c>
      <c r="N119" s="335"/>
      <c r="O119" s="162">
        <f t="shared" si="24"/>
        <v>0</v>
      </c>
      <c r="P119" s="162">
        <f t="shared" si="25"/>
        <v>0</v>
      </c>
    </row>
    <row r="120" spans="2:16">
      <c r="B120" s="9" t="str">
        <f t="shared" si="26"/>
        <v/>
      </c>
      <c r="C120" s="157">
        <f>IF(D93="","-",+C119+1)</f>
        <v>2030</v>
      </c>
      <c r="D120" s="158">
        <f>IF(F119+SUM(E$99:E119)=D$92,F119,D$92-SUM(E$99:E119))</f>
        <v>6348488</v>
      </c>
      <c r="E120" s="165">
        <f>IF(+J96&lt;F119,J96,D120)</f>
        <v>266420</v>
      </c>
      <c r="F120" s="163">
        <f t="shared" si="30"/>
        <v>6082068</v>
      </c>
      <c r="G120" s="163">
        <f t="shared" si="31"/>
        <v>6215278</v>
      </c>
      <c r="H120" s="167">
        <f t="shared" si="32"/>
        <v>904950.10831687308</v>
      </c>
      <c r="I120" s="317">
        <f t="shared" si="33"/>
        <v>904950.10831687308</v>
      </c>
      <c r="J120" s="162">
        <f t="shared" si="20"/>
        <v>0</v>
      </c>
      <c r="K120" s="162"/>
      <c r="L120" s="335"/>
      <c r="M120" s="162">
        <f t="shared" si="22"/>
        <v>0</v>
      </c>
      <c r="N120" s="335"/>
      <c r="O120" s="162">
        <f t="shared" si="24"/>
        <v>0</v>
      </c>
      <c r="P120" s="162">
        <f t="shared" si="25"/>
        <v>0</v>
      </c>
    </row>
    <row r="121" spans="2:16">
      <c r="B121" s="9" t="str">
        <f t="shared" si="26"/>
        <v/>
      </c>
      <c r="C121" s="157">
        <f>IF(D93="","-",+C120+1)</f>
        <v>2031</v>
      </c>
      <c r="D121" s="158">
        <f>IF(F120+SUM(E$99:E120)=D$92,F120,D$92-SUM(E$99:E120))</f>
        <v>6082068</v>
      </c>
      <c r="E121" s="165">
        <f>IF(+J96&lt;F120,J96,D121)</f>
        <v>266420</v>
      </c>
      <c r="F121" s="163">
        <f t="shared" si="30"/>
        <v>5815648</v>
      </c>
      <c r="G121" s="163">
        <f t="shared" si="31"/>
        <v>5948858</v>
      </c>
      <c r="H121" s="167">
        <f t="shared" si="32"/>
        <v>877579.29860284564</v>
      </c>
      <c r="I121" s="317">
        <f t="shared" si="33"/>
        <v>877579.29860284564</v>
      </c>
      <c r="J121" s="162">
        <f t="shared" si="20"/>
        <v>0</v>
      </c>
      <c r="K121" s="162"/>
      <c r="L121" s="335"/>
      <c r="M121" s="162">
        <f t="shared" si="22"/>
        <v>0</v>
      </c>
      <c r="N121" s="335"/>
      <c r="O121" s="162">
        <f t="shared" si="24"/>
        <v>0</v>
      </c>
      <c r="P121" s="162">
        <f t="shared" si="25"/>
        <v>0</v>
      </c>
    </row>
    <row r="122" spans="2:16">
      <c r="B122" s="9" t="str">
        <f t="shared" si="26"/>
        <v/>
      </c>
      <c r="C122" s="157">
        <f>IF(D93="","-",+C121+1)</f>
        <v>2032</v>
      </c>
      <c r="D122" s="158">
        <f>IF(F121+SUM(E$99:E121)=D$92,F121,D$92-SUM(E$99:E121))</f>
        <v>5815648</v>
      </c>
      <c r="E122" s="165">
        <f>IF(+J96&lt;F121,J96,D122)</f>
        <v>266420</v>
      </c>
      <c r="F122" s="163">
        <f t="shared" si="30"/>
        <v>5549228</v>
      </c>
      <c r="G122" s="163">
        <f t="shared" si="31"/>
        <v>5682438</v>
      </c>
      <c r="H122" s="167">
        <f t="shared" si="32"/>
        <v>850208.48888881819</v>
      </c>
      <c r="I122" s="317">
        <f t="shared" si="33"/>
        <v>850208.48888881819</v>
      </c>
      <c r="J122" s="162">
        <f t="shared" si="20"/>
        <v>0</v>
      </c>
      <c r="K122" s="162"/>
      <c r="L122" s="335"/>
      <c r="M122" s="162">
        <f t="shared" si="22"/>
        <v>0</v>
      </c>
      <c r="N122" s="335"/>
      <c r="O122" s="162">
        <f t="shared" si="24"/>
        <v>0</v>
      </c>
      <c r="P122" s="162">
        <f t="shared" si="25"/>
        <v>0</v>
      </c>
    </row>
    <row r="123" spans="2:16">
      <c r="B123" s="9" t="str">
        <f t="shared" si="26"/>
        <v/>
      </c>
      <c r="C123" s="157">
        <f>IF(D93="","-",+C122+1)</f>
        <v>2033</v>
      </c>
      <c r="D123" s="158">
        <f>IF(F122+SUM(E$99:E122)=D$92,F122,D$92-SUM(E$99:E122))</f>
        <v>5549228</v>
      </c>
      <c r="E123" s="165">
        <f>IF(+J96&lt;F122,J96,D123)</f>
        <v>266420</v>
      </c>
      <c r="F123" s="163">
        <f t="shared" si="30"/>
        <v>5282808</v>
      </c>
      <c r="G123" s="163">
        <f t="shared" si="31"/>
        <v>5416018</v>
      </c>
      <c r="H123" s="167">
        <f t="shared" si="32"/>
        <v>822837.67917479062</v>
      </c>
      <c r="I123" s="317">
        <f t="shared" si="33"/>
        <v>822837.67917479062</v>
      </c>
      <c r="J123" s="162">
        <f t="shared" si="20"/>
        <v>0</v>
      </c>
      <c r="K123" s="162"/>
      <c r="L123" s="335"/>
      <c r="M123" s="162">
        <f t="shared" si="22"/>
        <v>0</v>
      </c>
      <c r="N123" s="335"/>
      <c r="O123" s="162">
        <f t="shared" si="24"/>
        <v>0</v>
      </c>
      <c r="P123" s="162">
        <f t="shared" si="25"/>
        <v>0</v>
      </c>
    </row>
    <row r="124" spans="2:16">
      <c r="B124" s="9" t="str">
        <f t="shared" si="26"/>
        <v/>
      </c>
      <c r="C124" s="157">
        <f>IF(D93="","-",+C123+1)</f>
        <v>2034</v>
      </c>
      <c r="D124" s="158">
        <f>IF(F123+SUM(E$99:E123)=D$92,F123,D$92-SUM(E$99:E123))</f>
        <v>5282808</v>
      </c>
      <c r="E124" s="165">
        <f>IF(+J96&lt;F123,J96,D124)</f>
        <v>266420</v>
      </c>
      <c r="F124" s="163">
        <f t="shared" si="30"/>
        <v>5016388</v>
      </c>
      <c r="G124" s="163">
        <f t="shared" si="31"/>
        <v>5149598</v>
      </c>
      <c r="H124" s="167">
        <f t="shared" si="32"/>
        <v>795466.86946076318</v>
      </c>
      <c r="I124" s="317">
        <f t="shared" si="33"/>
        <v>795466.86946076318</v>
      </c>
      <c r="J124" s="162">
        <f t="shared" si="20"/>
        <v>0</v>
      </c>
      <c r="K124" s="162"/>
      <c r="L124" s="335"/>
      <c r="M124" s="162">
        <f t="shared" si="22"/>
        <v>0</v>
      </c>
      <c r="N124" s="335"/>
      <c r="O124" s="162">
        <f t="shared" si="24"/>
        <v>0</v>
      </c>
      <c r="P124" s="162">
        <f t="shared" si="25"/>
        <v>0</v>
      </c>
    </row>
    <row r="125" spans="2:16">
      <c r="B125" s="9" t="str">
        <f t="shared" si="26"/>
        <v/>
      </c>
      <c r="C125" s="157">
        <f>IF(D93="","-",+C124+1)</f>
        <v>2035</v>
      </c>
      <c r="D125" s="158">
        <f>IF(F124+SUM(E$99:E124)=D$92,F124,D$92-SUM(E$99:E124))</f>
        <v>5016388</v>
      </c>
      <c r="E125" s="165">
        <f>IF(+J96&lt;F124,J96,D125)</f>
        <v>266420</v>
      </c>
      <c r="F125" s="163">
        <f t="shared" si="30"/>
        <v>4749968</v>
      </c>
      <c r="G125" s="163">
        <f t="shared" si="31"/>
        <v>4883178</v>
      </c>
      <c r="H125" s="167">
        <f t="shared" si="32"/>
        <v>768096.05974673573</v>
      </c>
      <c r="I125" s="317">
        <f t="shared" si="33"/>
        <v>768096.05974673573</v>
      </c>
      <c r="J125" s="162">
        <f t="shared" si="20"/>
        <v>0</v>
      </c>
      <c r="K125" s="162"/>
      <c r="L125" s="335"/>
      <c r="M125" s="162">
        <f t="shared" si="22"/>
        <v>0</v>
      </c>
      <c r="N125" s="335"/>
      <c r="O125" s="162">
        <f t="shared" si="24"/>
        <v>0</v>
      </c>
      <c r="P125" s="162">
        <f t="shared" si="25"/>
        <v>0</v>
      </c>
    </row>
    <row r="126" spans="2:16">
      <c r="B126" s="9" t="str">
        <f t="shared" si="26"/>
        <v/>
      </c>
      <c r="C126" s="157">
        <f>IF(D93="","-",+C125+1)</f>
        <v>2036</v>
      </c>
      <c r="D126" s="158">
        <f>IF(F125+SUM(E$99:E125)=D$92,F125,D$92-SUM(E$99:E125))</f>
        <v>4749968</v>
      </c>
      <c r="E126" s="165">
        <f>IF(+J96&lt;F125,J96,D126)</f>
        <v>266420</v>
      </c>
      <c r="F126" s="163">
        <f t="shared" si="30"/>
        <v>4483548</v>
      </c>
      <c r="G126" s="163">
        <f t="shared" si="31"/>
        <v>4616758</v>
      </c>
      <c r="H126" s="167">
        <f t="shared" si="32"/>
        <v>740725.25003270828</v>
      </c>
      <c r="I126" s="317">
        <f t="shared" si="33"/>
        <v>740725.25003270828</v>
      </c>
      <c r="J126" s="162">
        <f t="shared" si="20"/>
        <v>0</v>
      </c>
      <c r="K126" s="162"/>
      <c r="L126" s="335"/>
      <c r="M126" s="162">
        <f t="shared" si="22"/>
        <v>0</v>
      </c>
      <c r="N126" s="335"/>
      <c r="O126" s="162">
        <f t="shared" si="24"/>
        <v>0</v>
      </c>
      <c r="P126" s="162">
        <f t="shared" si="25"/>
        <v>0</v>
      </c>
    </row>
    <row r="127" spans="2:16">
      <c r="B127" s="9" t="str">
        <f t="shared" si="26"/>
        <v/>
      </c>
      <c r="C127" s="157">
        <f>IF(D93="","-",+C126+1)</f>
        <v>2037</v>
      </c>
      <c r="D127" s="158">
        <f>IF(F126+SUM(E$99:E126)=D$92,F126,D$92-SUM(E$99:E126))</f>
        <v>4483548</v>
      </c>
      <c r="E127" s="165">
        <f>IF(+J96&lt;F126,J96,D127)</f>
        <v>266420</v>
      </c>
      <c r="F127" s="163">
        <f t="shared" si="30"/>
        <v>4217128</v>
      </c>
      <c r="G127" s="163">
        <f t="shared" si="31"/>
        <v>4350338</v>
      </c>
      <c r="H127" s="167">
        <f t="shared" si="32"/>
        <v>713354.44031868072</v>
      </c>
      <c r="I127" s="317">
        <f t="shared" si="33"/>
        <v>713354.44031868072</v>
      </c>
      <c r="J127" s="162">
        <f t="shared" si="20"/>
        <v>0</v>
      </c>
      <c r="K127" s="162"/>
      <c r="L127" s="335"/>
      <c r="M127" s="162">
        <f t="shared" si="22"/>
        <v>0</v>
      </c>
      <c r="N127" s="335"/>
      <c r="O127" s="162">
        <f t="shared" si="24"/>
        <v>0</v>
      </c>
      <c r="P127" s="162">
        <f t="shared" si="25"/>
        <v>0</v>
      </c>
    </row>
    <row r="128" spans="2:16">
      <c r="B128" s="9" t="str">
        <f t="shared" si="26"/>
        <v/>
      </c>
      <c r="C128" s="157">
        <f>IF(D93="","-",+C127+1)</f>
        <v>2038</v>
      </c>
      <c r="D128" s="158">
        <f>IF(F127+SUM(E$99:E127)=D$92,F127,D$92-SUM(E$99:E127))</f>
        <v>4217128</v>
      </c>
      <c r="E128" s="165">
        <f>IF(+J96&lt;F127,J96,D128)</f>
        <v>266420</v>
      </c>
      <c r="F128" s="163">
        <f t="shared" si="30"/>
        <v>3950708</v>
      </c>
      <c r="G128" s="163">
        <f t="shared" si="31"/>
        <v>4083918</v>
      </c>
      <c r="H128" s="167">
        <f t="shared" si="32"/>
        <v>685983.63060465315</v>
      </c>
      <c r="I128" s="317">
        <f t="shared" si="33"/>
        <v>685983.63060465315</v>
      </c>
      <c r="J128" s="162">
        <f t="shared" si="20"/>
        <v>0</v>
      </c>
      <c r="K128" s="162"/>
      <c r="L128" s="335"/>
      <c r="M128" s="162">
        <f t="shared" si="22"/>
        <v>0</v>
      </c>
      <c r="N128" s="335"/>
      <c r="O128" s="162">
        <f t="shared" si="24"/>
        <v>0</v>
      </c>
      <c r="P128" s="162">
        <f t="shared" si="25"/>
        <v>0</v>
      </c>
    </row>
    <row r="129" spans="2:16">
      <c r="B129" s="9" t="str">
        <f t="shared" si="26"/>
        <v/>
      </c>
      <c r="C129" s="157">
        <f>IF(D93="","-",+C128+1)</f>
        <v>2039</v>
      </c>
      <c r="D129" s="158">
        <f>IF(F128+SUM(E$99:E128)=D$92,F128,D$92-SUM(E$99:E128))</f>
        <v>3950708</v>
      </c>
      <c r="E129" s="165">
        <f>IF(+J96&lt;F128,J96,D129)</f>
        <v>266420</v>
      </c>
      <c r="F129" s="163">
        <f t="shared" si="30"/>
        <v>3684288</v>
      </c>
      <c r="G129" s="163">
        <f t="shared" si="31"/>
        <v>3817498</v>
      </c>
      <c r="H129" s="167">
        <f t="shared" si="32"/>
        <v>658612.82089062571</v>
      </c>
      <c r="I129" s="317">
        <f t="shared" si="33"/>
        <v>658612.82089062571</v>
      </c>
      <c r="J129" s="162">
        <f t="shared" si="20"/>
        <v>0</v>
      </c>
      <c r="K129" s="162"/>
      <c r="L129" s="335"/>
      <c r="M129" s="162">
        <f t="shared" si="22"/>
        <v>0</v>
      </c>
      <c r="N129" s="335"/>
      <c r="O129" s="162">
        <f t="shared" si="24"/>
        <v>0</v>
      </c>
      <c r="P129" s="162">
        <f t="shared" si="25"/>
        <v>0</v>
      </c>
    </row>
    <row r="130" spans="2:16">
      <c r="B130" s="9" t="str">
        <f t="shared" si="26"/>
        <v/>
      </c>
      <c r="C130" s="157">
        <f>IF(D93="","-",+C129+1)</f>
        <v>2040</v>
      </c>
      <c r="D130" s="158">
        <f>IF(F129+SUM(E$99:E129)=D$92,F129,D$92-SUM(E$99:E129))</f>
        <v>3684288</v>
      </c>
      <c r="E130" s="165">
        <f>IF(+J96&lt;F129,J96,D130)</f>
        <v>266420</v>
      </c>
      <c r="F130" s="163">
        <f t="shared" si="30"/>
        <v>3417868</v>
      </c>
      <c r="G130" s="163">
        <f t="shared" si="31"/>
        <v>3551078</v>
      </c>
      <c r="H130" s="167">
        <f t="shared" si="32"/>
        <v>631242.01117659826</v>
      </c>
      <c r="I130" s="317">
        <f t="shared" si="33"/>
        <v>631242.01117659826</v>
      </c>
      <c r="J130" s="162">
        <f t="shared" si="20"/>
        <v>0</v>
      </c>
      <c r="K130" s="162"/>
      <c r="L130" s="335"/>
      <c r="M130" s="162">
        <f t="shared" si="22"/>
        <v>0</v>
      </c>
      <c r="N130" s="335"/>
      <c r="O130" s="162">
        <f t="shared" si="24"/>
        <v>0</v>
      </c>
      <c r="P130" s="162">
        <f t="shared" si="25"/>
        <v>0</v>
      </c>
    </row>
    <row r="131" spans="2:16">
      <c r="B131" s="9" t="str">
        <f t="shared" si="26"/>
        <v/>
      </c>
      <c r="C131" s="157">
        <f>IF(D93="","-",+C130+1)</f>
        <v>2041</v>
      </c>
      <c r="D131" s="158">
        <f>IF(F130+SUM(E$99:E130)=D$92,F130,D$92-SUM(E$99:E130))</f>
        <v>3417868</v>
      </c>
      <c r="E131" s="165">
        <f>IF(+J96&lt;F130,J96,D131)</f>
        <v>266420</v>
      </c>
      <c r="F131" s="163">
        <f t="shared" ref="F131:F154" si="34">+D131-E131</f>
        <v>3151448</v>
      </c>
      <c r="G131" s="163">
        <f t="shared" ref="G131:G154" si="35">+(F131+D131)/2</f>
        <v>3284658</v>
      </c>
      <c r="H131" s="167">
        <f t="shared" si="32"/>
        <v>603871.20146257081</v>
      </c>
      <c r="I131" s="317">
        <f t="shared" si="33"/>
        <v>603871.20146257081</v>
      </c>
      <c r="J131" s="162">
        <f t="shared" ref="J131:J154" si="36">+I131-H131</f>
        <v>0</v>
      </c>
      <c r="K131" s="162"/>
      <c r="L131" s="335"/>
      <c r="M131" s="162">
        <f t="shared" ref="M131:M154" si="37">IF(L131&lt;&gt;0,+H131-L131,0)</f>
        <v>0</v>
      </c>
      <c r="N131" s="335"/>
      <c r="O131" s="162">
        <f t="shared" ref="O131:O154" si="38">IF(N131&lt;&gt;0,+I131-N131,0)</f>
        <v>0</v>
      </c>
      <c r="P131" s="162">
        <f t="shared" ref="P131:P154" si="39">+O131-M131</f>
        <v>0</v>
      </c>
    </row>
    <row r="132" spans="2:16">
      <c r="B132" s="9" t="str">
        <f t="shared" si="26"/>
        <v/>
      </c>
      <c r="C132" s="157">
        <f>IF(D93="","-",+C131+1)</f>
        <v>2042</v>
      </c>
      <c r="D132" s="158">
        <f>IF(F131+SUM(E$99:E131)=D$92,F131,D$92-SUM(E$99:E131))</f>
        <v>3151448</v>
      </c>
      <c r="E132" s="165">
        <f>IF(+J96&lt;F131,J96,D132)</f>
        <v>266420</v>
      </c>
      <c r="F132" s="163">
        <f t="shared" si="34"/>
        <v>2885028</v>
      </c>
      <c r="G132" s="163">
        <f t="shared" si="35"/>
        <v>3018238</v>
      </c>
      <c r="H132" s="167">
        <f t="shared" si="32"/>
        <v>576500.39174854325</v>
      </c>
      <c r="I132" s="317">
        <f t="shared" si="33"/>
        <v>576500.39174854325</v>
      </c>
      <c r="J132" s="162">
        <f t="shared" si="36"/>
        <v>0</v>
      </c>
      <c r="K132" s="162"/>
      <c r="L132" s="335"/>
      <c r="M132" s="162">
        <f t="shared" si="37"/>
        <v>0</v>
      </c>
      <c r="N132" s="335"/>
      <c r="O132" s="162">
        <f t="shared" si="38"/>
        <v>0</v>
      </c>
      <c r="P132" s="162">
        <f t="shared" si="39"/>
        <v>0</v>
      </c>
    </row>
    <row r="133" spans="2:16">
      <c r="B133" s="9" t="str">
        <f t="shared" si="26"/>
        <v/>
      </c>
      <c r="C133" s="157">
        <f>IF(D93="","-",+C132+1)</f>
        <v>2043</v>
      </c>
      <c r="D133" s="158">
        <f>IF(F132+SUM(E$99:E132)=D$92,F132,D$92-SUM(E$99:E132))</f>
        <v>2885028</v>
      </c>
      <c r="E133" s="165">
        <f>IF(+J96&lt;F132,J96,D133)</f>
        <v>266420</v>
      </c>
      <c r="F133" s="163">
        <f t="shared" si="34"/>
        <v>2618608</v>
      </c>
      <c r="G133" s="163">
        <f t="shared" si="35"/>
        <v>2751818</v>
      </c>
      <c r="H133" s="167">
        <f t="shared" si="32"/>
        <v>549129.5820345158</v>
      </c>
      <c r="I133" s="317">
        <f t="shared" si="33"/>
        <v>549129.5820345158</v>
      </c>
      <c r="J133" s="162">
        <f t="shared" si="36"/>
        <v>0</v>
      </c>
      <c r="K133" s="162"/>
      <c r="L133" s="335"/>
      <c r="M133" s="162">
        <f t="shared" si="37"/>
        <v>0</v>
      </c>
      <c r="N133" s="335"/>
      <c r="O133" s="162">
        <f t="shared" si="38"/>
        <v>0</v>
      </c>
      <c r="P133" s="162">
        <f t="shared" si="39"/>
        <v>0</v>
      </c>
    </row>
    <row r="134" spans="2:16">
      <c r="B134" s="9" t="str">
        <f t="shared" si="26"/>
        <v/>
      </c>
      <c r="C134" s="157">
        <f>IF(D93="","-",+C133+1)</f>
        <v>2044</v>
      </c>
      <c r="D134" s="158">
        <f>IF(F133+SUM(E$99:E133)=D$92,F133,D$92-SUM(E$99:E133))</f>
        <v>2618608</v>
      </c>
      <c r="E134" s="165">
        <f>IF(+J96&lt;F133,J96,D134)</f>
        <v>266420</v>
      </c>
      <c r="F134" s="163">
        <f t="shared" si="34"/>
        <v>2352188</v>
      </c>
      <c r="G134" s="163">
        <f t="shared" si="35"/>
        <v>2485398</v>
      </c>
      <c r="H134" s="167">
        <f t="shared" si="32"/>
        <v>521758.77232048829</v>
      </c>
      <c r="I134" s="317">
        <f t="shared" si="33"/>
        <v>521758.77232048829</v>
      </c>
      <c r="J134" s="162">
        <f t="shared" si="36"/>
        <v>0</v>
      </c>
      <c r="K134" s="162"/>
      <c r="L134" s="335"/>
      <c r="M134" s="162">
        <f t="shared" si="37"/>
        <v>0</v>
      </c>
      <c r="N134" s="335"/>
      <c r="O134" s="162">
        <f t="shared" si="38"/>
        <v>0</v>
      </c>
      <c r="P134" s="162">
        <f t="shared" si="39"/>
        <v>0</v>
      </c>
    </row>
    <row r="135" spans="2:16">
      <c r="B135" s="9" t="str">
        <f t="shared" si="26"/>
        <v/>
      </c>
      <c r="C135" s="157">
        <f>IF(D93="","-",+C134+1)</f>
        <v>2045</v>
      </c>
      <c r="D135" s="158">
        <f>IF(F134+SUM(E$99:E134)=D$92,F134,D$92-SUM(E$99:E134))</f>
        <v>2352188</v>
      </c>
      <c r="E135" s="165">
        <f>IF(+J96&lt;F134,J96,D135)</f>
        <v>266420</v>
      </c>
      <c r="F135" s="163">
        <f t="shared" si="34"/>
        <v>2085768</v>
      </c>
      <c r="G135" s="163">
        <f t="shared" si="35"/>
        <v>2218978</v>
      </c>
      <c r="H135" s="167">
        <f t="shared" si="32"/>
        <v>494387.96260646079</v>
      </c>
      <c r="I135" s="317">
        <f t="shared" si="33"/>
        <v>494387.96260646079</v>
      </c>
      <c r="J135" s="162">
        <f t="shared" si="36"/>
        <v>0</v>
      </c>
      <c r="K135" s="162"/>
      <c r="L135" s="335"/>
      <c r="M135" s="162">
        <f t="shared" si="37"/>
        <v>0</v>
      </c>
      <c r="N135" s="335"/>
      <c r="O135" s="162">
        <f t="shared" si="38"/>
        <v>0</v>
      </c>
      <c r="P135" s="162">
        <f t="shared" si="39"/>
        <v>0</v>
      </c>
    </row>
    <row r="136" spans="2:16">
      <c r="B136" s="9" t="str">
        <f t="shared" si="26"/>
        <v/>
      </c>
      <c r="C136" s="157">
        <f>IF(D93="","-",+C135+1)</f>
        <v>2046</v>
      </c>
      <c r="D136" s="158">
        <f>IF(F135+SUM(E$99:E135)=D$92,F135,D$92-SUM(E$99:E135))</f>
        <v>2085768</v>
      </c>
      <c r="E136" s="165">
        <f>IF(+J96&lt;F135,J96,D136)</f>
        <v>266420</v>
      </c>
      <c r="F136" s="163">
        <f t="shared" si="34"/>
        <v>1819348</v>
      </c>
      <c r="G136" s="163">
        <f t="shared" si="35"/>
        <v>1952558</v>
      </c>
      <c r="H136" s="167">
        <f t="shared" si="32"/>
        <v>467017.15289243334</v>
      </c>
      <c r="I136" s="317">
        <f t="shared" si="33"/>
        <v>467017.15289243334</v>
      </c>
      <c r="J136" s="162">
        <f t="shared" si="36"/>
        <v>0</v>
      </c>
      <c r="K136" s="162"/>
      <c r="L136" s="335"/>
      <c r="M136" s="162">
        <f t="shared" si="37"/>
        <v>0</v>
      </c>
      <c r="N136" s="335"/>
      <c r="O136" s="162">
        <f t="shared" si="38"/>
        <v>0</v>
      </c>
      <c r="P136" s="162">
        <f t="shared" si="39"/>
        <v>0</v>
      </c>
    </row>
    <row r="137" spans="2:16">
      <c r="B137" s="9" t="str">
        <f t="shared" si="26"/>
        <v/>
      </c>
      <c r="C137" s="157">
        <f>IF(D93="","-",+C136+1)</f>
        <v>2047</v>
      </c>
      <c r="D137" s="158">
        <f>IF(F136+SUM(E$99:E136)=D$92,F136,D$92-SUM(E$99:E136))</f>
        <v>1819348</v>
      </c>
      <c r="E137" s="165">
        <f>IF(+J96&lt;F136,J96,D137)</f>
        <v>266420</v>
      </c>
      <c r="F137" s="163">
        <f t="shared" si="34"/>
        <v>1552928</v>
      </c>
      <c r="G137" s="163">
        <f t="shared" si="35"/>
        <v>1686138</v>
      </c>
      <c r="H137" s="167">
        <f t="shared" si="32"/>
        <v>439646.34317840583</v>
      </c>
      <c r="I137" s="317">
        <f t="shared" si="33"/>
        <v>439646.34317840583</v>
      </c>
      <c r="J137" s="162">
        <f t="shared" si="36"/>
        <v>0</v>
      </c>
      <c r="K137" s="162"/>
      <c r="L137" s="335"/>
      <c r="M137" s="162">
        <f t="shared" si="37"/>
        <v>0</v>
      </c>
      <c r="N137" s="335"/>
      <c r="O137" s="162">
        <f t="shared" si="38"/>
        <v>0</v>
      </c>
      <c r="P137" s="162">
        <f t="shared" si="39"/>
        <v>0</v>
      </c>
    </row>
    <row r="138" spans="2:16">
      <c r="B138" s="9" t="str">
        <f t="shared" si="26"/>
        <v/>
      </c>
      <c r="C138" s="157">
        <f>IF(D93="","-",+C137+1)</f>
        <v>2048</v>
      </c>
      <c r="D138" s="158">
        <f>IF(F137+SUM(E$99:E137)=D$92,F137,D$92-SUM(E$99:E137))</f>
        <v>1552928</v>
      </c>
      <c r="E138" s="165">
        <f>IF(+J96&lt;F137,J96,D138)</f>
        <v>266420</v>
      </c>
      <c r="F138" s="163">
        <f t="shared" si="34"/>
        <v>1286508</v>
      </c>
      <c r="G138" s="163">
        <f t="shared" si="35"/>
        <v>1419718</v>
      </c>
      <c r="H138" s="167">
        <f t="shared" si="32"/>
        <v>412275.53346437833</v>
      </c>
      <c r="I138" s="317">
        <f t="shared" si="33"/>
        <v>412275.53346437833</v>
      </c>
      <c r="J138" s="162">
        <f t="shared" si="36"/>
        <v>0</v>
      </c>
      <c r="K138" s="162"/>
      <c r="L138" s="335"/>
      <c r="M138" s="162">
        <f t="shared" si="37"/>
        <v>0</v>
      </c>
      <c r="N138" s="335"/>
      <c r="O138" s="162">
        <f t="shared" si="38"/>
        <v>0</v>
      </c>
      <c r="P138" s="162">
        <f t="shared" si="39"/>
        <v>0</v>
      </c>
    </row>
    <row r="139" spans="2:16">
      <c r="B139" s="9" t="str">
        <f t="shared" si="26"/>
        <v/>
      </c>
      <c r="C139" s="157">
        <f>IF(D93="","-",+C138+1)</f>
        <v>2049</v>
      </c>
      <c r="D139" s="158">
        <f>IF(F138+SUM(E$99:E138)=D$92,F138,D$92-SUM(E$99:E138))</f>
        <v>1286508</v>
      </c>
      <c r="E139" s="165">
        <f>IF(+J96&lt;F138,J96,D139)</f>
        <v>266420</v>
      </c>
      <c r="F139" s="163">
        <f t="shared" si="34"/>
        <v>1020088</v>
      </c>
      <c r="G139" s="163">
        <f t="shared" si="35"/>
        <v>1153298</v>
      </c>
      <c r="H139" s="167">
        <f t="shared" si="32"/>
        <v>384904.72375035088</v>
      </c>
      <c r="I139" s="317">
        <f t="shared" si="33"/>
        <v>384904.72375035088</v>
      </c>
      <c r="J139" s="162">
        <f t="shared" si="36"/>
        <v>0</v>
      </c>
      <c r="K139" s="162"/>
      <c r="L139" s="335"/>
      <c r="M139" s="162">
        <f t="shared" si="37"/>
        <v>0</v>
      </c>
      <c r="N139" s="335"/>
      <c r="O139" s="162">
        <f t="shared" si="38"/>
        <v>0</v>
      </c>
      <c r="P139" s="162">
        <f t="shared" si="39"/>
        <v>0</v>
      </c>
    </row>
    <row r="140" spans="2:16">
      <c r="B140" s="9" t="str">
        <f t="shared" si="26"/>
        <v/>
      </c>
      <c r="C140" s="157">
        <f>IF(D93="","-",+C139+1)</f>
        <v>2050</v>
      </c>
      <c r="D140" s="158">
        <f>IF(F139+SUM(E$99:E139)=D$92,F139,D$92-SUM(E$99:E139))</f>
        <v>1020088</v>
      </c>
      <c r="E140" s="165">
        <f>IF(+J96&lt;F139,J96,D140)</f>
        <v>266420</v>
      </c>
      <c r="F140" s="163">
        <f t="shared" si="34"/>
        <v>753668</v>
      </c>
      <c r="G140" s="163">
        <f t="shared" si="35"/>
        <v>886878</v>
      </c>
      <c r="H140" s="167">
        <f t="shared" si="32"/>
        <v>357533.91403632337</v>
      </c>
      <c r="I140" s="317">
        <f t="shared" si="33"/>
        <v>357533.91403632337</v>
      </c>
      <c r="J140" s="162">
        <f t="shared" si="36"/>
        <v>0</v>
      </c>
      <c r="K140" s="162"/>
      <c r="L140" s="335"/>
      <c r="M140" s="162">
        <f t="shared" si="37"/>
        <v>0</v>
      </c>
      <c r="N140" s="335"/>
      <c r="O140" s="162">
        <f t="shared" si="38"/>
        <v>0</v>
      </c>
      <c r="P140" s="162">
        <f t="shared" si="39"/>
        <v>0</v>
      </c>
    </row>
    <row r="141" spans="2:16">
      <c r="B141" s="9" t="str">
        <f t="shared" si="26"/>
        <v/>
      </c>
      <c r="C141" s="157">
        <f>IF(D93="","-",+C140+1)</f>
        <v>2051</v>
      </c>
      <c r="D141" s="158">
        <f>IF(F140+SUM(E$99:E140)=D$92,F140,D$92-SUM(E$99:E140))</f>
        <v>753668</v>
      </c>
      <c r="E141" s="165">
        <f>IF(+J96&lt;F140,J96,D141)</f>
        <v>266420</v>
      </c>
      <c r="F141" s="163">
        <f t="shared" si="34"/>
        <v>487248</v>
      </c>
      <c r="G141" s="163">
        <f t="shared" si="35"/>
        <v>620458</v>
      </c>
      <c r="H141" s="167">
        <f t="shared" si="32"/>
        <v>330163.10432229587</v>
      </c>
      <c r="I141" s="317">
        <f t="shared" si="33"/>
        <v>330163.10432229587</v>
      </c>
      <c r="J141" s="162">
        <f t="shared" si="36"/>
        <v>0</v>
      </c>
      <c r="K141" s="162"/>
      <c r="L141" s="335"/>
      <c r="M141" s="162">
        <f t="shared" si="37"/>
        <v>0</v>
      </c>
      <c r="N141" s="335"/>
      <c r="O141" s="162">
        <f t="shared" si="38"/>
        <v>0</v>
      </c>
      <c r="P141" s="162">
        <f t="shared" si="39"/>
        <v>0</v>
      </c>
    </row>
    <row r="142" spans="2:16">
      <c r="B142" s="9" t="str">
        <f t="shared" si="26"/>
        <v/>
      </c>
      <c r="C142" s="157">
        <f>IF(D93="","-",+C141+1)</f>
        <v>2052</v>
      </c>
      <c r="D142" s="158">
        <f>IF(F141+SUM(E$99:E141)=D$92,F141,D$92-SUM(E$99:E141))</f>
        <v>487248</v>
      </c>
      <c r="E142" s="165">
        <f>IF(+J96&lt;F141,J96,D142)</f>
        <v>266420</v>
      </c>
      <c r="F142" s="163">
        <f t="shared" si="34"/>
        <v>220828</v>
      </c>
      <c r="G142" s="163">
        <f t="shared" si="35"/>
        <v>354038</v>
      </c>
      <c r="H142" s="167">
        <f t="shared" si="32"/>
        <v>302792.29460826836</v>
      </c>
      <c r="I142" s="317">
        <f t="shared" si="33"/>
        <v>302792.29460826836</v>
      </c>
      <c r="J142" s="162">
        <f t="shared" si="36"/>
        <v>0</v>
      </c>
      <c r="K142" s="162"/>
      <c r="L142" s="335"/>
      <c r="M142" s="162">
        <f t="shared" si="37"/>
        <v>0</v>
      </c>
      <c r="N142" s="335"/>
      <c r="O142" s="162">
        <f t="shared" si="38"/>
        <v>0</v>
      </c>
      <c r="P142" s="162">
        <f t="shared" si="39"/>
        <v>0</v>
      </c>
    </row>
    <row r="143" spans="2:16">
      <c r="B143" s="9" t="str">
        <f t="shared" si="26"/>
        <v/>
      </c>
      <c r="C143" s="157">
        <f>IF(D93="","-",+C142+1)</f>
        <v>2053</v>
      </c>
      <c r="D143" s="158">
        <f>IF(F142+SUM(E$99:E142)=D$92,F142,D$92-SUM(E$99:E142))</f>
        <v>220828</v>
      </c>
      <c r="E143" s="165">
        <f>IF(+J96&lt;F142,J96,D143)</f>
        <v>220828</v>
      </c>
      <c r="F143" s="163">
        <f t="shared" si="34"/>
        <v>0</v>
      </c>
      <c r="G143" s="163">
        <f t="shared" si="35"/>
        <v>110414</v>
      </c>
      <c r="H143" s="167">
        <f t="shared" si="32"/>
        <v>232171.44487562732</v>
      </c>
      <c r="I143" s="317">
        <f t="shared" si="33"/>
        <v>232171.44487562732</v>
      </c>
      <c r="J143" s="162">
        <f t="shared" si="36"/>
        <v>0</v>
      </c>
      <c r="K143" s="162"/>
      <c r="L143" s="335"/>
      <c r="M143" s="162">
        <f t="shared" si="37"/>
        <v>0</v>
      </c>
      <c r="N143" s="335"/>
      <c r="O143" s="162">
        <f t="shared" si="38"/>
        <v>0</v>
      </c>
      <c r="P143" s="162">
        <f t="shared" si="39"/>
        <v>0</v>
      </c>
    </row>
    <row r="144" spans="2:16">
      <c r="B144" s="9" t="str">
        <f t="shared" si="26"/>
        <v/>
      </c>
      <c r="C144" s="157">
        <f>IF(D93="","-",+C143+1)</f>
        <v>2054</v>
      </c>
      <c r="D144" s="158">
        <f>IF(F143+SUM(E$99:E143)=D$92,F143,D$92-SUM(E$99:E143))</f>
        <v>0</v>
      </c>
      <c r="E144" s="165">
        <f>IF(+J96&lt;F143,J96,D144)</f>
        <v>0</v>
      </c>
      <c r="F144" s="163">
        <f t="shared" si="34"/>
        <v>0</v>
      </c>
      <c r="G144" s="163">
        <f t="shared" si="35"/>
        <v>0</v>
      </c>
      <c r="H144" s="167">
        <f t="shared" si="32"/>
        <v>0</v>
      </c>
      <c r="I144" s="317">
        <f t="shared" si="33"/>
        <v>0</v>
      </c>
      <c r="J144" s="162">
        <f t="shared" si="36"/>
        <v>0</v>
      </c>
      <c r="K144" s="162"/>
      <c r="L144" s="335"/>
      <c r="M144" s="162">
        <f t="shared" si="37"/>
        <v>0</v>
      </c>
      <c r="N144" s="335"/>
      <c r="O144" s="162">
        <f t="shared" si="38"/>
        <v>0</v>
      </c>
      <c r="P144" s="162">
        <f t="shared" si="39"/>
        <v>0</v>
      </c>
    </row>
    <row r="145" spans="2:16">
      <c r="B145" s="9" t="str">
        <f t="shared" si="26"/>
        <v/>
      </c>
      <c r="C145" s="157">
        <f>IF(D93="","-",+C144+1)</f>
        <v>2055</v>
      </c>
      <c r="D145" s="158">
        <f>IF(F144+SUM(E$99:E144)=D$92,F144,D$92-SUM(E$99:E144))</f>
        <v>0</v>
      </c>
      <c r="E145" s="165">
        <f>IF(+J96&lt;F144,J96,D145)</f>
        <v>0</v>
      </c>
      <c r="F145" s="163">
        <f t="shared" si="34"/>
        <v>0</v>
      </c>
      <c r="G145" s="163">
        <f t="shared" si="35"/>
        <v>0</v>
      </c>
      <c r="H145" s="167">
        <f t="shared" si="32"/>
        <v>0</v>
      </c>
      <c r="I145" s="317">
        <f t="shared" si="33"/>
        <v>0</v>
      </c>
      <c r="J145" s="162">
        <f t="shared" si="36"/>
        <v>0</v>
      </c>
      <c r="K145" s="162"/>
      <c r="L145" s="335"/>
      <c r="M145" s="162">
        <f t="shared" si="37"/>
        <v>0</v>
      </c>
      <c r="N145" s="335"/>
      <c r="O145" s="162">
        <f t="shared" si="38"/>
        <v>0</v>
      </c>
      <c r="P145" s="162">
        <f t="shared" si="39"/>
        <v>0</v>
      </c>
    </row>
    <row r="146" spans="2:16">
      <c r="B146" s="9" t="str">
        <f t="shared" si="26"/>
        <v/>
      </c>
      <c r="C146" s="157">
        <f>IF(D93="","-",+C145+1)</f>
        <v>2056</v>
      </c>
      <c r="D146" s="158">
        <f>IF(F145+SUM(E$99:E145)=D$92,F145,D$92-SUM(E$99:E145))</f>
        <v>0</v>
      </c>
      <c r="E146" s="165">
        <f>IF(+J96&lt;F145,J96,D146)</f>
        <v>0</v>
      </c>
      <c r="F146" s="163">
        <f t="shared" si="34"/>
        <v>0</v>
      </c>
      <c r="G146" s="163">
        <f t="shared" si="35"/>
        <v>0</v>
      </c>
      <c r="H146" s="167">
        <f t="shared" si="32"/>
        <v>0</v>
      </c>
      <c r="I146" s="317">
        <f t="shared" si="33"/>
        <v>0</v>
      </c>
      <c r="J146" s="162">
        <f t="shared" si="36"/>
        <v>0</v>
      </c>
      <c r="K146" s="162"/>
      <c r="L146" s="335"/>
      <c r="M146" s="162">
        <f t="shared" si="37"/>
        <v>0</v>
      </c>
      <c r="N146" s="335"/>
      <c r="O146" s="162">
        <f t="shared" si="38"/>
        <v>0</v>
      </c>
      <c r="P146" s="162">
        <f t="shared" si="39"/>
        <v>0</v>
      </c>
    </row>
    <row r="147" spans="2:16">
      <c r="B147" s="9" t="str">
        <f t="shared" si="26"/>
        <v/>
      </c>
      <c r="C147" s="157">
        <f>IF(D93="","-",+C146+1)</f>
        <v>2057</v>
      </c>
      <c r="D147" s="158">
        <f>IF(F146+SUM(E$99:E146)=D$92,F146,D$92-SUM(E$99:E146))</f>
        <v>0</v>
      </c>
      <c r="E147" s="165">
        <f>IF(+J96&lt;F146,J96,D147)</f>
        <v>0</v>
      </c>
      <c r="F147" s="163">
        <f t="shared" si="34"/>
        <v>0</v>
      </c>
      <c r="G147" s="163">
        <f t="shared" si="35"/>
        <v>0</v>
      </c>
      <c r="H147" s="167">
        <f t="shared" si="32"/>
        <v>0</v>
      </c>
      <c r="I147" s="317">
        <f t="shared" si="33"/>
        <v>0</v>
      </c>
      <c r="J147" s="162">
        <f t="shared" si="36"/>
        <v>0</v>
      </c>
      <c r="K147" s="162"/>
      <c r="L147" s="335"/>
      <c r="M147" s="162">
        <f t="shared" si="37"/>
        <v>0</v>
      </c>
      <c r="N147" s="335"/>
      <c r="O147" s="162">
        <f t="shared" si="38"/>
        <v>0</v>
      </c>
      <c r="P147" s="162">
        <f t="shared" si="39"/>
        <v>0</v>
      </c>
    </row>
    <row r="148" spans="2:16">
      <c r="B148" s="9" t="str">
        <f t="shared" si="26"/>
        <v/>
      </c>
      <c r="C148" s="157">
        <f>IF(D93="","-",+C147+1)</f>
        <v>2058</v>
      </c>
      <c r="D148" s="158">
        <f>IF(F147+SUM(E$99:E147)=D$92,F147,D$92-SUM(E$99:E147))</f>
        <v>0</v>
      </c>
      <c r="E148" s="165">
        <f>IF(+J96&lt;F147,J96,D148)</f>
        <v>0</v>
      </c>
      <c r="F148" s="163">
        <f t="shared" si="34"/>
        <v>0</v>
      </c>
      <c r="G148" s="163">
        <f t="shared" si="35"/>
        <v>0</v>
      </c>
      <c r="H148" s="167">
        <f t="shared" si="32"/>
        <v>0</v>
      </c>
      <c r="I148" s="317">
        <f t="shared" si="33"/>
        <v>0</v>
      </c>
      <c r="J148" s="162">
        <f t="shared" si="36"/>
        <v>0</v>
      </c>
      <c r="K148" s="162"/>
      <c r="L148" s="335"/>
      <c r="M148" s="162">
        <f t="shared" si="37"/>
        <v>0</v>
      </c>
      <c r="N148" s="335"/>
      <c r="O148" s="162">
        <f t="shared" si="38"/>
        <v>0</v>
      </c>
      <c r="P148" s="162">
        <f t="shared" si="39"/>
        <v>0</v>
      </c>
    </row>
    <row r="149" spans="2:16">
      <c r="B149" s="9" t="str">
        <f t="shared" si="26"/>
        <v/>
      </c>
      <c r="C149" s="157">
        <f>IF(D93="","-",+C148+1)</f>
        <v>2059</v>
      </c>
      <c r="D149" s="158">
        <f>IF(F148+SUM(E$99:E148)=D$92,F148,D$92-SUM(E$99:E148))</f>
        <v>0</v>
      </c>
      <c r="E149" s="165">
        <f>IF(+J96&lt;F148,J96,D149)</f>
        <v>0</v>
      </c>
      <c r="F149" s="163">
        <f t="shared" si="34"/>
        <v>0</v>
      </c>
      <c r="G149" s="163">
        <f t="shared" si="35"/>
        <v>0</v>
      </c>
      <c r="H149" s="167">
        <f t="shared" si="32"/>
        <v>0</v>
      </c>
      <c r="I149" s="317">
        <f t="shared" si="33"/>
        <v>0</v>
      </c>
      <c r="J149" s="162">
        <f t="shared" si="36"/>
        <v>0</v>
      </c>
      <c r="K149" s="162"/>
      <c r="L149" s="335"/>
      <c r="M149" s="162">
        <f t="shared" si="37"/>
        <v>0</v>
      </c>
      <c r="N149" s="335"/>
      <c r="O149" s="162">
        <f t="shared" si="38"/>
        <v>0</v>
      </c>
      <c r="P149" s="162">
        <f t="shared" si="39"/>
        <v>0</v>
      </c>
    </row>
    <row r="150" spans="2:16">
      <c r="B150" s="9" t="str">
        <f t="shared" si="26"/>
        <v/>
      </c>
      <c r="C150" s="157">
        <f>IF(D93="","-",+C149+1)</f>
        <v>2060</v>
      </c>
      <c r="D150" s="158">
        <f>IF(F149+SUM(E$99:E149)=D$92,F149,D$92-SUM(E$99:E149))</f>
        <v>0</v>
      </c>
      <c r="E150" s="165">
        <f>IF(+J96&lt;F149,J96,D150)</f>
        <v>0</v>
      </c>
      <c r="F150" s="163">
        <f t="shared" si="34"/>
        <v>0</v>
      </c>
      <c r="G150" s="163">
        <f t="shared" si="35"/>
        <v>0</v>
      </c>
      <c r="H150" s="167">
        <f t="shared" si="32"/>
        <v>0</v>
      </c>
      <c r="I150" s="317">
        <f t="shared" si="33"/>
        <v>0</v>
      </c>
      <c r="J150" s="162">
        <f t="shared" si="36"/>
        <v>0</v>
      </c>
      <c r="K150" s="162"/>
      <c r="L150" s="335"/>
      <c r="M150" s="162">
        <f t="shared" si="37"/>
        <v>0</v>
      </c>
      <c r="N150" s="335"/>
      <c r="O150" s="162">
        <f t="shared" si="38"/>
        <v>0</v>
      </c>
      <c r="P150" s="162">
        <f t="shared" si="39"/>
        <v>0</v>
      </c>
    </row>
    <row r="151" spans="2:16">
      <c r="B151" s="9" t="str">
        <f t="shared" si="26"/>
        <v/>
      </c>
      <c r="C151" s="157">
        <f>IF(D93="","-",+C150+1)</f>
        <v>2061</v>
      </c>
      <c r="D151" s="158">
        <f>IF(F150+SUM(E$99:E150)=D$92,F150,D$92-SUM(E$99:E150))</f>
        <v>0</v>
      </c>
      <c r="E151" s="165">
        <f>IF(+J96&lt;F150,J96,D151)</f>
        <v>0</v>
      </c>
      <c r="F151" s="163">
        <f t="shared" si="34"/>
        <v>0</v>
      </c>
      <c r="G151" s="163">
        <f t="shared" si="35"/>
        <v>0</v>
      </c>
      <c r="H151" s="167">
        <f t="shared" si="32"/>
        <v>0</v>
      </c>
      <c r="I151" s="317">
        <f t="shared" si="33"/>
        <v>0</v>
      </c>
      <c r="J151" s="162">
        <f t="shared" si="36"/>
        <v>0</v>
      </c>
      <c r="K151" s="162"/>
      <c r="L151" s="335"/>
      <c r="M151" s="162">
        <f t="shared" si="37"/>
        <v>0</v>
      </c>
      <c r="N151" s="335"/>
      <c r="O151" s="162">
        <f t="shared" si="38"/>
        <v>0</v>
      </c>
      <c r="P151" s="162">
        <f t="shared" si="39"/>
        <v>0</v>
      </c>
    </row>
    <row r="152" spans="2:16">
      <c r="B152" s="9" t="str">
        <f t="shared" si="26"/>
        <v/>
      </c>
      <c r="C152" s="157">
        <f>IF(D93="","-",+C151+1)</f>
        <v>2062</v>
      </c>
      <c r="D152" s="158">
        <f>IF(F151+SUM(E$99:E151)=D$92,F151,D$92-SUM(E$99:E151))</f>
        <v>0</v>
      </c>
      <c r="E152" s="165">
        <f>IF(+J96&lt;F151,J96,D152)</f>
        <v>0</v>
      </c>
      <c r="F152" s="163">
        <f t="shared" si="34"/>
        <v>0</v>
      </c>
      <c r="G152" s="163">
        <f t="shared" si="35"/>
        <v>0</v>
      </c>
      <c r="H152" s="167">
        <f t="shared" si="32"/>
        <v>0</v>
      </c>
      <c r="I152" s="317">
        <f t="shared" si="33"/>
        <v>0</v>
      </c>
      <c r="J152" s="162">
        <f t="shared" si="36"/>
        <v>0</v>
      </c>
      <c r="K152" s="162"/>
      <c r="L152" s="335"/>
      <c r="M152" s="162">
        <f t="shared" si="37"/>
        <v>0</v>
      </c>
      <c r="N152" s="335"/>
      <c r="O152" s="162">
        <f t="shared" si="38"/>
        <v>0</v>
      </c>
      <c r="P152" s="162">
        <f t="shared" si="39"/>
        <v>0</v>
      </c>
    </row>
    <row r="153" spans="2:16">
      <c r="B153" s="9" t="str">
        <f t="shared" si="26"/>
        <v/>
      </c>
      <c r="C153" s="157">
        <f>IF(D93="","-",+C152+1)</f>
        <v>2063</v>
      </c>
      <c r="D153" s="158">
        <f>IF(F152+SUM(E$99:E152)=D$92,F152,D$92-SUM(E$99:E152))</f>
        <v>0</v>
      </c>
      <c r="E153" s="165">
        <f>IF(+J96&lt;F152,J96,D153)</f>
        <v>0</v>
      </c>
      <c r="F153" s="163">
        <f t="shared" si="34"/>
        <v>0</v>
      </c>
      <c r="G153" s="163">
        <f t="shared" si="35"/>
        <v>0</v>
      </c>
      <c r="H153" s="167">
        <f t="shared" si="32"/>
        <v>0</v>
      </c>
      <c r="I153" s="317">
        <f t="shared" si="33"/>
        <v>0</v>
      </c>
      <c r="J153" s="162">
        <f t="shared" si="36"/>
        <v>0</v>
      </c>
      <c r="K153" s="162"/>
      <c r="L153" s="335"/>
      <c r="M153" s="162">
        <f t="shared" si="37"/>
        <v>0</v>
      </c>
      <c r="N153" s="335"/>
      <c r="O153" s="162">
        <f t="shared" si="38"/>
        <v>0</v>
      </c>
      <c r="P153" s="162">
        <f t="shared" si="39"/>
        <v>0</v>
      </c>
    </row>
    <row r="154" spans="2:16" ht="13.5" thickBot="1">
      <c r="B154" s="9" t="str">
        <f t="shared" si="26"/>
        <v/>
      </c>
      <c r="C154" s="168">
        <f>IF(D93="","-",+C153+1)</f>
        <v>2064</v>
      </c>
      <c r="D154" s="219">
        <f>IF(F153+SUM(E$99:E153)=D$92,F153,D$92-SUM(E$99:E153))</f>
        <v>0</v>
      </c>
      <c r="E154" s="377">
        <f>IF(+J96&lt;F153,J96,D154)</f>
        <v>0</v>
      </c>
      <c r="F154" s="169">
        <f t="shared" si="34"/>
        <v>0</v>
      </c>
      <c r="G154" s="169">
        <f t="shared" si="35"/>
        <v>0</v>
      </c>
      <c r="H154" s="171">
        <f t="shared" si="32"/>
        <v>0</v>
      </c>
      <c r="I154" s="318">
        <f t="shared" si="33"/>
        <v>0</v>
      </c>
      <c r="J154" s="173">
        <f t="shared" si="36"/>
        <v>0</v>
      </c>
      <c r="K154" s="162"/>
      <c r="L154" s="336"/>
      <c r="M154" s="173">
        <f t="shared" si="37"/>
        <v>0</v>
      </c>
      <c r="N154" s="336"/>
      <c r="O154" s="173">
        <f t="shared" si="38"/>
        <v>0</v>
      </c>
      <c r="P154" s="173">
        <f t="shared" si="39"/>
        <v>0</v>
      </c>
    </row>
    <row r="155" spans="2:16">
      <c r="C155" s="158" t="s">
        <v>72</v>
      </c>
      <c r="D155" s="115"/>
      <c r="E155" s="115">
        <f>SUM(E99:E154)</f>
        <v>11456065</v>
      </c>
      <c r="F155" s="115"/>
      <c r="G155" s="115"/>
      <c r="H155" s="115">
        <f>SUM(H99:H154)</f>
        <v>41927559.033892021</v>
      </c>
      <c r="I155" s="115">
        <f>SUM(I99:I154)</f>
        <v>41927559.033892021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 t="s">
        <v>95</v>
      </c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74" t="s">
        <v>102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73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 t="s">
        <v>74</v>
      </c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phoneticPr fontId="0" type="noConversion"/>
  <conditionalFormatting sqref="C17:C72">
    <cfRule type="cellIs" dxfId="56" priority="1" stopIfTrue="1" operator="equal">
      <formula>$I$10</formula>
    </cfRule>
  </conditionalFormatting>
  <conditionalFormatting sqref="C99:C154">
    <cfRule type="cellIs" dxfId="55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2"/>
  <dimension ref="A1:P162"/>
  <sheetViews>
    <sheetView view="pageBreakPreview" zoomScale="75" zoomScaleNormal="100" zoomScaleSheetLayoutView="50" workbookViewId="0">
      <selection activeCell="D17" sqref="D17:H28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"&amp;RIGHT(MID(CELL("filename",$A$1),FIND("]",CELL("filename",$A$1))+1,256),1)&amp;" of "&amp;COUNT('P.001:P.xyz - blank'!$P$3)-1</f>
        <v>PSO Project 4 of 28</v>
      </c>
    </row>
    <row r="2" spans="1:16" ht="20.25">
      <c r="A2" s="112"/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 t="str">
        <f>"For Calendar Year "&amp;V1-1&amp;" and Projected Year "&amp;V1</f>
        <v xml:space="preserve">For Calendar Year -1 and Projected Year </v>
      </c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 t="s">
        <v>241</v>
      </c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275</v>
      </c>
      <c r="L5" s="119"/>
      <c r="M5" s="120"/>
      <c r="N5" s="121">
        <f>VLOOKUP(I10,C17:I72,5)-O5</f>
        <v>1544541.2708098113</v>
      </c>
      <c r="O5" s="418">
        <f>1307.4*12</f>
        <v>15688.800000000001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276</v>
      </c>
      <c r="L6" s="125"/>
      <c r="M6" s="4"/>
      <c r="N6" s="126">
        <f>VLOOKUP(I10,C17:I72,6)-O5</f>
        <v>1544541.2708098113</v>
      </c>
      <c r="O6" s="1"/>
      <c r="P6" s="1"/>
    </row>
    <row r="7" spans="1:16" ht="13.5" thickBot="1">
      <c r="C7" s="127" t="s">
        <v>41</v>
      </c>
      <c r="D7" s="343" t="s">
        <v>199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/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A9" s="107"/>
      <c r="C9" s="133" t="s">
        <v>43</v>
      </c>
      <c r="D9" s="229" t="s">
        <v>77</v>
      </c>
      <c r="E9" s="427" t="s">
        <v>302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14615636</v>
      </c>
      <c r="E10" s="64" t="s">
        <v>46</v>
      </c>
      <c r="F10" s="137"/>
      <c r="G10" s="139"/>
      <c r="H10" s="139"/>
      <c r="I10" s="140">
        <f>+PSO.WS.F.BPU.ATRR.Projected!L19</f>
        <v>2020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2008</v>
      </c>
      <c r="E11" s="141" t="s">
        <v>49</v>
      </c>
      <c r="F11" s="139"/>
      <c r="G11" s="7"/>
      <c r="H11" s="7"/>
      <c r="I11" s="143"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7</v>
      </c>
      <c r="E12" s="141" t="s">
        <v>51</v>
      </c>
      <c r="F12" s="139"/>
      <c r="G12" s="7"/>
      <c r="H12" s="7"/>
      <c r="I12" s="145">
        <f>PSO.WS.F.BPU.ATRR.Projected!$F$81</f>
        <v>0.10800477690995318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42</v>
      </c>
      <c r="E13" s="141" t="s">
        <v>54</v>
      </c>
      <c r="F13" s="139"/>
      <c r="G13" s="7"/>
      <c r="H13" s="7"/>
      <c r="I13" s="145">
        <f>IF(G5="",I12,PSO.WS.F.BPU.ATRR.Projected!$F$80)</f>
        <v>0.10800477690995318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347991.33333333331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277</v>
      </c>
      <c r="H15" s="362" t="s">
        <v>278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359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2008</v>
      </c>
      <c r="D17" s="369">
        <v>2264444</v>
      </c>
      <c r="E17" s="367">
        <v>21774</v>
      </c>
      <c r="F17" s="366">
        <v>2242670</v>
      </c>
      <c r="G17" s="367">
        <v>215833</v>
      </c>
      <c r="H17" s="367">
        <v>215833</v>
      </c>
      <c r="I17" s="160">
        <f t="shared" ref="I17:I48" si="0">H17-G17</f>
        <v>0</v>
      </c>
      <c r="J17" s="175"/>
      <c r="K17" s="338">
        <v>215833</v>
      </c>
      <c r="L17" s="358">
        <f t="shared" ref="L17:L48" si="1">IF(K17&lt;&gt;0,+G17-K17,0)</f>
        <v>0</v>
      </c>
      <c r="M17" s="337">
        <v>215833</v>
      </c>
      <c r="N17" s="161">
        <f t="shared" ref="N17:N48" si="2">IF(M17&lt;&gt;0,+H17-M17,0)</f>
        <v>0</v>
      </c>
      <c r="O17" s="162">
        <f t="shared" ref="O17:O48" si="3">+N17-L17</f>
        <v>0</v>
      </c>
      <c r="P17" s="4"/>
    </row>
    <row r="18" spans="2:16">
      <c r="B18" s="9" t="str">
        <f>IF(D18=F17,"","IU")</f>
        <v>IU</v>
      </c>
      <c r="C18" s="157">
        <f>IF(D11="","-",+C17+1)</f>
        <v>2009</v>
      </c>
      <c r="D18" s="366">
        <v>14429811</v>
      </c>
      <c r="E18" s="368">
        <v>274418</v>
      </c>
      <c r="F18" s="366">
        <v>14155393</v>
      </c>
      <c r="G18" s="368">
        <v>2443110</v>
      </c>
      <c r="H18" s="368">
        <v>2443110</v>
      </c>
      <c r="I18" s="160">
        <f t="shared" si="0"/>
        <v>0</v>
      </c>
      <c r="J18" s="160"/>
      <c r="K18" s="338">
        <v>2443110</v>
      </c>
      <c r="L18" s="162">
        <f t="shared" si="1"/>
        <v>0</v>
      </c>
      <c r="M18" s="338">
        <v>2443110</v>
      </c>
      <c r="N18" s="162">
        <f t="shared" si="2"/>
        <v>0</v>
      </c>
      <c r="O18" s="162">
        <f t="shared" si="3"/>
        <v>0</v>
      </c>
      <c r="P18" s="4"/>
    </row>
    <row r="19" spans="2:16">
      <c r="B19" s="9" t="str">
        <f>IF(D19=F18,"","IU")</f>
        <v>IU</v>
      </c>
      <c r="C19" s="157">
        <f>IF(D11="","-",+C18+1)</f>
        <v>2010</v>
      </c>
      <c r="D19" s="371">
        <v>14390719</v>
      </c>
      <c r="E19" s="368">
        <v>262266.26785714284</v>
      </c>
      <c r="F19" s="371">
        <v>14128452.732142856</v>
      </c>
      <c r="G19" s="368">
        <v>2300952.2678571427</v>
      </c>
      <c r="H19" s="370">
        <v>2300952.2678571427</v>
      </c>
      <c r="I19" s="160">
        <f t="shared" si="0"/>
        <v>0</v>
      </c>
      <c r="J19" s="160"/>
      <c r="K19" s="338">
        <f t="shared" ref="K19:K24" si="4">G19</f>
        <v>2300952.2678571427</v>
      </c>
      <c r="L19" s="272">
        <f t="shared" si="1"/>
        <v>0</v>
      </c>
      <c r="M19" s="338">
        <f t="shared" ref="M19:M24" si="5">H19</f>
        <v>2300952.2678571427</v>
      </c>
      <c r="N19" s="162">
        <f t="shared" si="2"/>
        <v>0</v>
      </c>
      <c r="O19" s="162">
        <f t="shared" si="3"/>
        <v>0</v>
      </c>
      <c r="P19" s="4"/>
    </row>
    <row r="20" spans="2:16">
      <c r="B20" s="9" t="str">
        <f t="shared" ref="B20:B72" si="6">IF(D20=F19,"","IU")</f>
        <v>IU</v>
      </c>
      <c r="C20" s="157">
        <f>IF(D11="","-",+C19+1)</f>
        <v>2011</v>
      </c>
      <c r="D20" s="371">
        <v>14057177.732142856</v>
      </c>
      <c r="E20" s="368">
        <v>286581.09803921566</v>
      </c>
      <c r="F20" s="371">
        <v>13770596.634103641</v>
      </c>
      <c r="G20" s="368">
        <v>2442276.0980392154</v>
      </c>
      <c r="H20" s="370">
        <v>2442276.0980392154</v>
      </c>
      <c r="I20" s="160">
        <f t="shared" si="0"/>
        <v>0</v>
      </c>
      <c r="J20" s="160"/>
      <c r="K20" s="338">
        <f t="shared" si="4"/>
        <v>2442276.0980392154</v>
      </c>
      <c r="L20" s="272">
        <f t="shared" si="1"/>
        <v>0</v>
      </c>
      <c r="M20" s="338">
        <f t="shared" si="5"/>
        <v>2442276.0980392154</v>
      </c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6"/>
        <v/>
      </c>
      <c r="C21" s="157">
        <f>IF(D12="","-",+C20+1)</f>
        <v>2012</v>
      </c>
      <c r="D21" s="371">
        <v>13770596.634103641</v>
      </c>
      <c r="E21" s="368">
        <v>281069.92307692306</v>
      </c>
      <c r="F21" s="371">
        <v>13489526.711026717</v>
      </c>
      <c r="G21" s="368">
        <v>2158902.923076923</v>
      </c>
      <c r="H21" s="370">
        <v>2158902.923076923</v>
      </c>
      <c r="I21" s="160">
        <f t="shared" si="0"/>
        <v>0</v>
      </c>
      <c r="J21" s="160"/>
      <c r="K21" s="338">
        <f t="shared" si="4"/>
        <v>2158902.923076923</v>
      </c>
      <c r="L21" s="272">
        <f t="shared" si="1"/>
        <v>0</v>
      </c>
      <c r="M21" s="338">
        <f t="shared" si="5"/>
        <v>2158902.923076923</v>
      </c>
      <c r="N21" s="162">
        <f t="shared" si="2"/>
        <v>0</v>
      </c>
      <c r="O21" s="162">
        <f t="shared" si="3"/>
        <v>0</v>
      </c>
      <c r="P21" s="4"/>
    </row>
    <row r="22" spans="2:16">
      <c r="B22" s="9" t="str">
        <f t="shared" si="6"/>
        <v/>
      </c>
      <c r="C22" s="157">
        <f>IF(D11="","-",+C21+1)</f>
        <v>2013</v>
      </c>
      <c r="D22" s="371">
        <v>13489526.711026717</v>
      </c>
      <c r="E22" s="368">
        <v>281069.92307692306</v>
      </c>
      <c r="F22" s="371">
        <v>13208456.787949793</v>
      </c>
      <c r="G22" s="368">
        <v>2167326.923076923</v>
      </c>
      <c r="H22" s="370">
        <v>2167326.923076923</v>
      </c>
      <c r="I22" s="160">
        <v>0</v>
      </c>
      <c r="J22" s="160"/>
      <c r="K22" s="338">
        <f t="shared" si="4"/>
        <v>2167326.923076923</v>
      </c>
      <c r="L22" s="272">
        <f t="shared" ref="L22:L27" si="7">IF(K22&lt;&gt;0,+G22-K22,0)</f>
        <v>0</v>
      </c>
      <c r="M22" s="338">
        <f t="shared" si="5"/>
        <v>2167326.923076923</v>
      </c>
      <c r="N22" s="162">
        <f t="shared" ref="N22:N27" si="8">IF(M22&lt;&gt;0,+H22-M22,0)</f>
        <v>0</v>
      </c>
      <c r="O22" s="162">
        <f t="shared" ref="O22:O27" si="9">+N22-L22</f>
        <v>0</v>
      </c>
      <c r="P22" s="4"/>
    </row>
    <row r="23" spans="2:16">
      <c r="B23" s="9" t="str">
        <f t="shared" si="6"/>
        <v/>
      </c>
      <c r="C23" s="157">
        <f>IF(D11="","-",+C22+1)</f>
        <v>2014</v>
      </c>
      <c r="D23" s="371">
        <v>13208456.787949793</v>
      </c>
      <c r="E23" s="368">
        <v>281069.92307692306</v>
      </c>
      <c r="F23" s="371">
        <v>12927386.864872869</v>
      </c>
      <c r="G23" s="368">
        <v>2060637.923076923</v>
      </c>
      <c r="H23" s="370">
        <v>2060637.923076923</v>
      </c>
      <c r="I23" s="160">
        <v>0</v>
      </c>
      <c r="J23" s="160"/>
      <c r="K23" s="338">
        <f t="shared" si="4"/>
        <v>2060637.923076923</v>
      </c>
      <c r="L23" s="272">
        <f t="shared" si="7"/>
        <v>0</v>
      </c>
      <c r="M23" s="338">
        <f t="shared" si="5"/>
        <v>2060637.923076923</v>
      </c>
      <c r="N23" s="162">
        <f t="shared" si="8"/>
        <v>0</v>
      </c>
      <c r="O23" s="162">
        <f t="shared" si="9"/>
        <v>0</v>
      </c>
      <c r="P23" s="4"/>
    </row>
    <row r="24" spans="2:16">
      <c r="B24" s="9" t="str">
        <f t="shared" si="6"/>
        <v/>
      </c>
      <c r="C24" s="157">
        <f>IF(D11="","-",+C23+1)</f>
        <v>2015</v>
      </c>
      <c r="D24" s="371">
        <v>12927386.864872869</v>
      </c>
      <c r="E24" s="368">
        <v>281069.92307692306</v>
      </c>
      <c r="F24" s="371">
        <v>12646316.941795945</v>
      </c>
      <c r="G24" s="368">
        <v>2024638.923076923</v>
      </c>
      <c r="H24" s="370">
        <v>2024638.923076923</v>
      </c>
      <c r="I24" s="160">
        <v>0</v>
      </c>
      <c r="J24" s="160"/>
      <c r="K24" s="338">
        <f t="shared" si="4"/>
        <v>2024638.923076923</v>
      </c>
      <c r="L24" s="272">
        <f t="shared" si="7"/>
        <v>0</v>
      </c>
      <c r="M24" s="338">
        <f t="shared" si="5"/>
        <v>2024638.923076923</v>
      </c>
      <c r="N24" s="162">
        <f t="shared" si="8"/>
        <v>0</v>
      </c>
      <c r="O24" s="162">
        <f t="shared" si="9"/>
        <v>0</v>
      </c>
      <c r="P24" s="4"/>
    </row>
    <row r="25" spans="2:16">
      <c r="B25" s="9" t="str">
        <f t="shared" si="6"/>
        <v/>
      </c>
      <c r="C25" s="157">
        <f>IF(D11="","-",+C24+1)</f>
        <v>2016</v>
      </c>
      <c r="D25" s="371">
        <v>12646316.941795945</v>
      </c>
      <c r="E25" s="368">
        <v>281069.92307692306</v>
      </c>
      <c r="F25" s="371">
        <v>12365247.018719021</v>
      </c>
      <c r="G25" s="368">
        <v>1902890.923076923</v>
      </c>
      <c r="H25" s="370">
        <v>1902890.923076923</v>
      </c>
      <c r="I25" s="160">
        <f t="shared" si="0"/>
        <v>0</v>
      </c>
      <c r="J25" s="160"/>
      <c r="K25" s="338">
        <f>G25</f>
        <v>1902890.923076923</v>
      </c>
      <c r="L25" s="272">
        <f t="shared" si="7"/>
        <v>0</v>
      </c>
      <c r="M25" s="338">
        <f>H25</f>
        <v>1902890.923076923</v>
      </c>
      <c r="N25" s="162">
        <f t="shared" si="8"/>
        <v>0</v>
      </c>
      <c r="O25" s="162">
        <f t="shared" si="9"/>
        <v>0</v>
      </c>
      <c r="P25" s="4"/>
    </row>
    <row r="26" spans="2:16">
      <c r="B26" s="9" t="str">
        <f t="shared" si="6"/>
        <v/>
      </c>
      <c r="C26" s="157">
        <f>IF(D11="","-",+C25+1)</f>
        <v>2017</v>
      </c>
      <c r="D26" s="371">
        <v>12365247.018719021</v>
      </c>
      <c r="E26" s="368">
        <v>317731.21739130432</v>
      </c>
      <c r="F26" s="371">
        <v>12047515.801327717</v>
      </c>
      <c r="G26" s="368">
        <v>1850906.2173913042</v>
      </c>
      <c r="H26" s="370">
        <v>1850906.2173913042</v>
      </c>
      <c r="I26" s="160">
        <v>0</v>
      </c>
      <c r="J26" s="160"/>
      <c r="K26" s="338">
        <f>G26</f>
        <v>1850906.2173913042</v>
      </c>
      <c r="L26" s="272">
        <f t="shared" si="7"/>
        <v>0</v>
      </c>
      <c r="M26" s="338">
        <f>H26</f>
        <v>1850906.2173913042</v>
      </c>
      <c r="N26" s="162">
        <f t="shared" si="8"/>
        <v>0</v>
      </c>
      <c r="O26" s="162">
        <f t="shared" si="9"/>
        <v>0</v>
      </c>
      <c r="P26" s="4"/>
    </row>
    <row r="27" spans="2:16">
      <c r="B27" s="9" t="str">
        <f t="shared" si="6"/>
        <v/>
      </c>
      <c r="C27" s="157">
        <f>IF(D11="","-",+C26+1)</f>
        <v>2018</v>
      </c>
      <c r="D27" s="371">
        <v>12047515.801327717</v>
      </c>
      <c r="E27" s="368">
        <v>324791.91111111111</v>
      </c>
      <c r="F27" s="371">
        <v>11722723.890216606</v>
      </c>
      <c r="G27" s="368">
        <v>1911291.9111111111</v>
      </c>
      <c r="H27" s="370">
        <v>1911291.9111111111</v>
      </c>
      <c r="I27" s="160">
        <f t="shared" si="0"/>
        <v>0</v>
      </c>
      <c r="J27" s="160"/>
      <c r="K27" s="338">
        <f>G27</f>
        <v>1911291.9111111111</v>
      </c>
      <c r="L27" s="272">
        <f t="shared" si="7"/>
        <v>0</v>
      </c>
      <c r="M27" s="338">
        <f>H27</f>
        <v>1911291.9111111111</v>
      </c>
      <c r="N27" s="162">
        <f t="shared" si="8"/>
        <v>0</v>
      </c>
      <c r="O27" s="162">
        <f t="shared" si="9"/>
        <v>0</v>
      </c>
      <c r="P27" s="4"/>
    </row>
    <row r="28" spans="2:16">
      <c r="B28" s="9" t="str">
        <f t="shared" si="6"/>
        <v/>
      </c>
      <c r="C28" s="157">
        <f>IF(D11="","-",+C27+1)</f>
        <v>2019</v>
      </c>
      <c r="D28" s="371">
        <v>11722723.890216606</v>
      </c>
      <c r="E28" s="368">
        <v>324791.91111111111</v>
      </c>
      <c r="F28" s="371">
        <v>11397931.979105495</v>
      </c>
      <c r="G28" s="368">
        <v>1867335.9111111111</v>
      </c>
      <c r="H28" s="370">
        <v>1867335.9111111111</v>
      </c>
      <c r="I28" s="160">
        <f t="shared" si="0"/>
        <v>0</v>
      </c>
      <c r="J28" s="160"/>
      <c r="K28" s="338">
        <f>G28</f>
        <v>1867335.9111111111</v>
      </c>
      <c r="L28" s="272">
        <f t="shared" ref="L28" si="10">IF(K28&lt;&gt;0,+G28-K28,0)</f>
        <v>0</v>
      </c>
      <c r="M28" s="338">
        <f>H28</f>
        <v>1867335.9111111111</v>
      </c>
      <c r="N28" s="162">
        <f t="shared" ref="N28" si="11">IF(M28&lt;&gt;0,+H28-M28,0)</f>
        <v>0</v>
      </c>
      <c r="O28" s="162">
        <f t="shared" ref="O28" si="12">+N28-L28</f>
        <v>0</v>
      </c>
      <c r="P28" s="4"/>
    </row>
    <row r="29" spans="2:16">
      <c r="B29" s="9" t="str">
        <f t="shared" si="6"/>
        <v/>
      </c>
      <c r="C29" s="157">
        <f>IF(D11="","-",+C28+1)</f>
        <v>2020</v>
      </c>
      <c r="D29" s="163">
        <f>IF(F28+SUM(E$17:E28)=D$10,F28,D$10-SUM(E$17:E28))</f>
        <v>11397931.979105495</v>
      </c>
      <c r="E29" s="164">
        <f>IF(+I14&lt;F28,I14,D29)</f>
        <v>347991.33333333331</v>
      </c>
      <c r="F29" s="163">
        <f t="shared" ref="F29:F72" si="13">+D29-E29</f>
        <v>11049940.645772161</v>
      </c>
      <c r="G29" s="165">
        <f t="shared" ref="G29:G72" si="14">(D29+F29)/2*I$12+E29</f>
        <v>1560230.0708098114</v>
      </c>
      <c r="H29" s="147">
        <f t="shared" ref="H29:H72" si="15">+(D29+F29)/2*I$13+E29</f>
        <v>1560230.0708098114</v>
      </c>
      <c r="I29" s="160">
        <f t="shared" si="0"/>
        <v>0</v>
      </c>
      <c r="J29" s="160"/>
      <c r="K29" s="335"/>
      <c r="L29" s="162">
        <f t="shared" si="1"/>
        <v>0</v>
      </c>
      <c r="M29" s="335"/>
      <c r="N29" s="162">
        <f t="shared" si="2"/>
        <v>0</v>
      </c>
      <c r="O29" s="162">
        <f t="shared" si="3"/>
        <v>0</v>
      </c>
      <c r="P29" s="4"/>
    </row>
    <row r="30" spans="2:16">
      <c r="B30" s="9" t="str">
        <f t="shared" si="6"/>
        <v/>
      </c>
      <c r="C30" s="157">
        <f>IF(D11="","-",+C29+1)</f>
        <v>2021</v>
      </c>
      <c r="D30" s="163">
        <f>IF(F29+SUM(E$17:E29)=D$10,F29,D$10-SUM(E$17:E29))</f>
        <v>11049940.645772161</v>
      </c>
      <c r="E30" s="164">
        <f>IF(+I14&lt;F29,I14,D30)</f>
        <v>347991.33333333331</v>
      </c>
      <c r="F30" s="163">
        <f t="shared" si="13"/>
        <v>10701949.312438827</v>
      </c>
      <c r="G30" s="165">
        <f t="shared" si="14"/>
        <v>1522645.3444865476</v>
      </c>
      <c r="H30" s="147">
        <f t="shared" si="15"/>
        <v>1522645.3444865476</v>
      </c>
      <c r="I30" s="160">
        <f t="shared" si="0"/>
        <v>0</v>
      </c>
      <c r="J30" s="160"/>
      <c r="K30" s="335"/>
      <c r="L30" s="162">
        <f t="shared" si="1"/>
        <v>0</v>
      </c>
      <c r="M30" s="335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6"/>
        <v/>
      </c>
      <c r="C31" s="157">
        <f>IF(D11="","-",+C30+1)</f>
        <v>2022</v>
      </c>
      <c r="D31" s="163">
        <f>IF(F30+SUM(E$17:E30)=D$10,F30,D$10-SUM(E$17:E30))</f>
        <v>10701949.312438827</v>
      </c>
      <c r="E31" s="164">
        <f>IF(+I14&lt;F30,I14,D31)</f>
        <v>347991.33333333331</v>
      </c>
      <c r="F31" s="163">
        <f t="shared" si="13"/>
        <v>10353957.979105493</v>
      </c>
      <c r="G31" s="165">
        <f t="shared" si="14"/>
        <v>1485060.6181632834</v>
      </c>
      <c r="H31" s="147">
        <f t="shared" si="15"/>
        <v>1485060.6181632834</v>
      </c>
      <c r="I31" s="160">
        <f t="shared" si="0"/>
        <v>0</v>
      </c>
      <c r="J31" s="160"/>
      <c r="K31" s="335"/>
      <c r="L31" s="162">
        <f t="shared" si="1"/>
        <v>0</v>
      </c>
      <c r="M31" s="335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6"/>
        <v/>
      </c>
      <c r="C32" s="157">
        <f>IF(D11="","-",+C31+1)</f>
        <v>2023</v>
      </c>
      <c r="D32" s="163">
        <f>IF(F31+SUM(E$17:E31)=D$10,F31,D$10-SUM(E$17:E31))</f>
        <v>10353957.979105493</v>
      </c>
      <c r="E32" s="164">
        <f>IF(+I14&lt;F31,I14,D32)</f>
        <v>347991.33333333331</v>
      </c>
      <c r="F32" s="163">
        <f t="shared" si="13"/>
        <v>10005966.645772159</v>
      </c>
      <c r="G32" s="165">
        <f t="shared" si="14"/>
        <v>1447475.89184002</v>
      </c>
      <c r="H32" s="147">
        <f t="shared" si="15"/>
        <v>1447475.89184002</v>
      </c>
      <c r="I32" s="160">
        <f t="shared" si="0"/>
        <v>0</v>
      </c>
      <c r="J32" s="160"/>
      <c r="K32" s="335"/>
      <c r="L32" s="162">
        <f t="shared" si="1"/>
        <v>0</v>
      </c>
      <c r="M32" s="335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6"/>
        <v/>
      </c>
      <c r="C33" s="157">
        <f>IF(D11="","-",+C32+1)</f>
        <v>2024</v>
      </c>
      <c r="D33" s="163">
        <f>IF(F32+SUM(E$17:E32)=D$10,F32,D$10-SUM(E$17:E32))</f>
        <v>10005966.645772159</v>
      </c>
      <c r="E33" s="164">
        <f>IF(+I14&lt;F32,I14,D33)</f>
        <v>347991.33333333331</v>
      </c>
      <c r="F33" s="163">
        <f t="shared" si="13"/>
        <v>9657975.3124388251</v>
      </c>
      <c r="G33" s="165">
        <f t="shared" si="14"/>
        <v>1409891.1655167558</v>
      </c>
      <c r="H33" s="147">
        <f t="shared" si="15"/>
        <v>1409891.1655167558</v>
      </c>
      <c r="I33" s="160">
        <f t="shared" si="0"/>
        <v>0</v>
      </c>
      <c r="J33" s="160"/>
      <c r="K33" s="335"/>
      <c r="L33" s="162">
        <f t="shared" si="1"/>
        <v>0</v>
      </c>
      <c r="M33" s="335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6"/>
        <v/>
      </c>
      <c r="C34" s="157">
        <f>IF(D11="","-",+C33+1)</f>
        <v>2025</v>
      </c>
      <c r="D34" s="163">
        <f>IF(F33+SUM(E$17:E33)=D$10,F33,D$10-SUM(E$17:E33))</f>
        <v>9657975.3124388251</v>
      </c>
      <c r="E34" s="164">
        <f>IF(+I14&lt;F33,I14,D34)</f>
        <v>347991.33333333331</v>
      </c>
      <c r="F34" s="163">
        <f t="shared" si="13"/>
        <v>9309983.9791054912</v>
      </c>
      <c r="G34" s="165">
        <f t="shared" si="14"/>
        <v>1372306.4391934921</v>
      </c>
      <c r="H34" s="147">
        <f t="shared" si="15"/>
        <v>1372306.4391934921</v>
      </c>
      <c r="I34" s="160">
        <f t="shared" si="0"/>
        <v>0</v>
      </c>
      <c r="J34" s="160"/>
      <c r="K34" s="335"/>
      <c r="L34" s="162">
        <f t="shared" si="1"/>
        <v>0</v>
      </c>
      <c r="M34" s="335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6"/>
        <v/>
      </c>
      <c r="C35" s="157">
        <f>IF(D11="","-",+C34+1)</f>
        <v>2026</v>
      </c>
      <c r="D35" s="163">
        <f>IF(F34+SUM(E$17:E34)=D$10,F34,D$10-SUM(E$17:E34))</f>
        <v>9309983.9791054912</v>
      </c>
      <c r="E35" s="164">
        <f>IF(+I14&lt;F34,I14,D35)</f>
        <v>347991.33333333331</v>
      </c>
      <c r="F35" s="163">
        <f t="shared" si="13"/>
        <v>8961992.6457721572</v>
      </c>
      <c r="G35" s="165">
        <f t="shared" si="14"/>
        <v>1334721.7128702281</v>
      </c>
      <c r="H35" s="147">
        <f t="shared" si="15"/>
        <v>1334721.7128702281</v>
      </c>
      <c r="I35" s="160">
        <f t="shared" si="0"/>
        <v>0</v>
      </c>
      <c r="J35" s="160"/>
      <c r="K35" s="335"/>
      <c r="L35" s="162">
        <f t="shared" si="1"/>
        <v>0</v>
      </c>
      <c r="M35" s="335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6"/>
        <v/>
      </c>
      <c r="C36" s="157">
        <f>IF(D11="","-",+C35+1)</f>
        <v>2027</v>
      </c>
      <c r="D36" s="163">
        <f>IF(F35+SUM(E$17:E35)=D$10,F35,D$10-SUM(E$17:E35))</f>
        <v>8961992.6457721572</v>
      </c>
      <c r="E36" s="164">
        <f>IF(+I14&lt;F35,I14,D36)</f>
        <v>347991.33333333331</v>
      </c>
      <c r="F36" s="163">
        <f t="shared" si="13"/>
        <v>8614001.3124388233</v>
      </c>
      <c r="G36" s="165">
        <f t="shared" si="14"/>
        <v>1297136.9865469644</v>
      </c>
      <c r="H36" s="147">
        <f t="shared" si="15"/>
        <v>1297136.9865469644</v>
      </c>
      <c r="I36" s="160">
        <f t="shared" si="0"/>
        <v>0</v>
      </c>
      <c r="J36" s="160"/>
      <c r="K36" s="335"/>
      <c r="L36" s="162">
        <f t="shared" si="1"/>
        <v>0</v>
      </c>
      <c r="M36" s="335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6"/>
        <v/>
      </c>
      <c r="C37" s="157">
        <f>IF(D11="","-",+C36+1)</f>
        <v>2028</v>
      </c>
      <c r="D37" s="163">
        <f>IF(F36+SUM(E$17:E36)=D$10,F36,D$10-SUM(E$17:E36))</f>
        <v>8614001.3124388233</v>
      </c>
      <c r="E37" s="164">
        <f>IF(+I14&lt;F36,I14,D37)</f>
        <v>347991.33333333331</v>
      </c>
      <c r="F37" s="163">
        <f t="shared" si="13"/>
        <v>8266009.9791054903</v>
      </c>
      <c r="G37" s="165">
        <f t="shared" si="14"/>
        <v>1259552.2602237004</v>
      </c>
      <c r="H37" s="147">
        <f t="shared" si="15"/>
        <v>1259552.2602237004</v>
      </c>
      <c r="I37" s="160">
        <f t="shared" si="0"/>
        <v>0</v>
      </c>
      <c r="J37" s="160"/>
      <c r="K37" s="335"/>
      <c r="L37" s="162">
        <f t="shared" si="1"/>
        <v>0</v>
      </c>
      <c r="M37" s="335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6"/>
        <v/>
      </c>
      <c r="C38" s="157">
        <f>IF(D11="","-",+C37+1)</f>
        <v>2029</v>
      </c>
      <c r="D38" s="163">
        <f>IF(F37+SUM(E$17:E37)=D$10,F37,D$10-SUM(E$17:E37))</f>
        <v>8266009.9791054903</v>
      </c>
      <c r="E38" s="164">
        <f>IF(+I14&lt;F37,I14,D38)</f>
        <v>347991.33333333331</v>
      </c>
      <c r="F38" s="163">
        <f t="shared" si="13"/>
        <v>7918018.6457721572</v>
      </c>
      <c r="G38" s="165">
        <f t="shared" si="14"/>
        <v>1221967.5339004365</v>
      </c>
      <c r="H38" s="147">
        <f t="shared" si="15"/>
        <v>1221967.5339004365</v>
      </c>
      <c r="I38" s="160">
        <f t="shared" si="0"/>
        <v>0</v>
      </c>
      <c r="J38" s="160"/>
      <c r="K38" s="335"/>
      <c r="L38" s="162">
        <f t="shared" si="1"/>
        <v>0</v>
      </c>
      <c r="M38" s="335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6"/>
        <v/>
      </c>
      <c r="C39" s="157">
        <f>IF(D11="","-",+C38+1)</f>
        <v>2030</v>
      </c>
      <c r="D39" s="163">
        <f>IF(F38+SUM(E$17:E38)=D$10,F38,D$10-SUM(E$17:E38))</f>
        <v>7918018.6457721572</v>
      </c>
      <c r="E39" s="164">
        <f>IF(+I14&lt;F38,I14,D39)</f>
        <v>347991.33333333331</v>
      </c>
      <c r="F39" s="163">
        <f t="shared" si="13"/>
        <v>7570027.3124388242</v>
      </c>
      <c r="G39" s="165">
        <f t="shared" si="14"/>
        <v>1184382.807577173</v>
      </c>
      <c r="H39" s="147">
        <f t="shared" si="15"/>
        <v>1184382.807577173</v>
      </c>
      <c r="I39" s="160">
        <f t="shared" si="0"/>
        <v>0</v>
      </c>
      <c r="J39" s="160"/>
      <c r="K39" s="335"/>
      <c r="L39" s="162">
        <f t="shared" si="1"/>
        <v>0</v>
      </c>
      <c r="M39" s="335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6"/>
        <v/>
      </c>
      <c r="C40" s="157">
        <f>IF(D11="","-",+C39+1)</f>
        <v>2031</v>
      </c>
      <c r="D40" s="163">
        <f>IF(F39+SUM(E$17:E39)=D$10,F39,D$10-SUM(E$17:E39))</f>
        <v>7570027.3124388242</v>
      </c>
      <c r="E40" s="164">
        <f>IF(+I14&lt;F39,I14,D40)</f>
        <v>347991.33333333331</v>
      </c>
      <c r="F40" s="163">
        <f t="shared" si="13"/>
        <v>7222035.9791054912</v>
      </c>
      <c r="G40" s="165">
        <f t="shared" si="14"/>
        <v>1146798.081253909</v>
      </c>
      <c r="H40" s="147">
        <f t="shared" si="15"/>
        <v>1146798.081253909</v>
      </c>
      <c r="I40" s="160">
        <f t="shared" si="0"/>
        <v>0</v>
      </c>
      <c r="J40" s="160"/>
      <c r="K40" s="335"/>
      <c r="L40" s="162">
        <f t="shared" si="1"/>
        <v>0</v>
      </c>
      <c r="M40" s="335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6"/>
        <v/>
      </c>
      <c r="C41" s="157">
        <f>IF(D11="","-",+C40+1)</f>
        <v>2032</v>
      </c>
      <c r="D41" s="163">
        <f>IF(F40+SUM(E$17:E40)=D$10,F40,D$10-SUM(E$17:E40))</f>
        <v>7222035.9791054912</v>
      </c>
      <c r="E41" s="164">
        <f>IF(+I14&lt;F40,I14,D41)</f>
        <v>347991.33333333331</v>
      </c>
      <c r="F41" s="163">
        <f t="shared" si="13"/>
        <v>6874044.6457721582</v>
      </c>
      <c r="G41" s="165">
        <f t="shared" si="14"/>
        <v>1109213.3549306453</v>
      </c>
      <c r="H41" s="147">
        <f t="shared" si="15"/>
        <v>1109213.3549306453</v>
      </c>
      <c r="I41" s="160">
        <f t="shared" si="0"/>
        <v>0</v>
      </c>
      <c r="J41" s="160"/>
      <c r="K41" s="335"/>
      <c r="L41" s="162">
        <f t="shared" si="1"/>
        <v>0</v>
      </c>
      <c r="M41" s="335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6"/>
        <v/>
      </c>
      <c r="C42" s="157">
        <f>IF(D11="","-",+C41+1)</f>
        <v>2033</v>
      </c>
      <c r="D42" s="163">
        <f>IF(F41+SUM(E$17:E41)=D$10,F41,D$10-SUM(E$17:E41))</f>
        <v>6874044.6457721582</v>
      </c>
      <c r="E42" s="164">
        <f>IF(+I14&lt;F41,I14,D42)</f>
        <v>347991.33333333331</v>
      </c>
      <c r="F42" s="163">
        <f t="shared" si="13"/>
        <v>6526053.3124388251</v>
      </c>
      <c r="G42" s="165">
        <f t="shared" si="14"/>
        <v>1071628.6286073814</v>
      </c>
      <c r="H42" s="147">
        <f t="shared" si="15"/>
        <v>1071628.6286073814</v>
      </c>
      <c r="I42" s="160">
        <f t="shared" si="0"/>
        <v>0</v>
      </c>
      <c r="J42" s="160"/>
      <c r="K42" s="335"/>
      <c r="L42" s="162">
        <f t="shared" si="1"/>
        <v>0</v>
      </c>
      <c r="M42" s="335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6"/>
        <v/>
      </c>
      <c r="C43" s="157">
        <f>IF(D11="","-",+C42+1)</f>
        <v>2034</v>
      </c>
      <c r="D43" s="163">
        <f>IF(F42+SUM(E$17:E42)=D$10,F42,D$10-SUM(E$17:E42))</f>
        <v>6526053.3124388251</v>
      </c>
      <c r="E43" s="164">
        <f>IF(+I14&lt;F42,I14,D43)</f>
        <v>347991.33333333331</v>
      </c>
      <c r="F43" s="163">
        <f t="shared" si="13"/>
        <v>6178061.9791054921</v>
      </c>
      <c r="G43" s="165">
        <f t="shared" si="14"/>
        <v>1034043.9022841176</v>
      </c>
      <c r="H43" s="147">
        <f t="shared" si="15"/>
        <v>1034043.9022841176</v>
      </c>
      <c r="I43" s="160">
        <f t="shared" si="0"/>
        <v>0</v>
      </c>
      <c r="J43" s="160"/>
      <c r="K43" s="335"/>
      <c r="L43" s="162">
        <f t="shared" si="1"/>
        <v>0</v>
      </c>
      <c r="M43" s="335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6"/>
        <v/>
      </c>
      <c r="C44" s="157">
        <f>IF(D11="","-",+C43+1)</f>
        <v>2035</v>
      </c>
      <c r="D44" s="163">
        <f>IF(F43+SUM(E$17:E43)=D$10,F43,D$10-SUM(E$17:E43))</f>
        <v>6178061.9791054921</v>
      </c>
      <c r="E44" s="164">
        <f>IF(+I14&lt;F43,I14,D44)</f>
        <v>347991.33333333331</v>
      </c>
      <c r="F44" s="163">
        <f t="shared" si="13"/>
        <v>5830070.6457721591</v>
      </c>
      <c r="G44" s="165">
        <f t="shared" si="14"/>
        <v>996459.17596085393</v>
      </c>
      <c r="H44" s="147">
        <f t="shared" si="15"/>
        <v>996459.17596085393</v>
      </c>
      <c r="I44" s="160">
        <f t="shared" si="0"/>
        <v>0</v>
      </c>
      <c r="J44" s="160"/>
      <c r="K44" s="335"/>
      <c r="L44" s="162">
        <f t="shared" si="1"/>
        <v>0</v>
      </c>
      <c r="M44" s="335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6"/>
        <v/>
      </c>
      <c r="C45" s="157">
        <f>IF(D11="","-",+C44+1)</f>
        <v>2036</v>
      </c>
      <c r="D45" s="163">
        <f>IF(F44+SUM(E$17:E44)=D$10,F44,D$10-SUM(E$17:E44))</f>
        <v>5830070.6457721591</v>
      </c>
      <c r="E45" s="164">
        <f>IF(+I14&lt;F44,I14,D45)</f>
        <v>347991.33333333331</v>
      </c>
      <c r="F45" s="163">
        <f t="shared" si="13"/>
        <v>5482079.3124388261</v>
      </c>
      <c r="G45" s="165">
        <f t="shared" si="14"/>
        <v>958874.44963759021</v>
      </c>
      <c r="H45" s="147">
        <f t="shared" si="15"/>
        <v>958874.44963759021</v>
      </c>
      <c r="I45" s="160">
        <f t="shared" si="0"/>
        <v>0</v>
      </c>
      <c r="J45" s="160"/>
      <c r="K45" s="335"/>
      <c r="L45" s="162">
        <f t="shared" si="1"/>
        <v>0</v>
      </c>
      <c r="M45" s="335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6"/>
        <v/>
      </c>
      <c r="C46" s="157">
        <f>IF(D11="","-",+C45+1)</f>
        <v>2037</v>
      </c>
      <c r="D46" s="163">
        <f>IF(F45+SUM(E$17:E45)=D$10,F45,D$10-SUM(E$17:E45))</f>
        <v>5482079.3124388261</v>
      </c>
      <c r="E46" s="164">
        <f>IF(+I14&lt;F45,I14,D46)</f>
        <v>347991.33333333331</v>
      </c>
      <c r="F46" s="163">
        <f t="shared" si="13"/>
        <v>5134087.9791054931</v>
      </c>
      <c r="G46" s="165">
        <f t="shared" si="14"/>
        <v>921289.72331432626</v>
      </c>
      <c r="H46" s="147">
        <f t="shared" si="15"/>
        <v>921289.72331432626</v>
      </c>
      <c r="I46" s="160">
        <f t="shared" si="0"/>
        <v>0</v>
      </c>
      <c r="J46" s="160"/>
      <c r="K46" s="335"/>
      <c r="L46" s="162">
        <f t="shared" si="1"/>
        <v>0</v>
      </c>
      <c r="M46" s="335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6"/>
        <v/>
      </c>
      <c r="C47" s="157">
        <f>IF(D11="","-",+C46+1)</f>
        <v>2038</v>
      </c>
      <c r="D47" s="163">
        <f>IF(F46+SUM(E$17:E46)=D$10,F46,D$10-SUM(E$17:E46))</f>
        <v>5134087.9791054931</v>
      </c>
      <c r="E47" s="164">
        <f>IF(+I14&lt;F46,I14,D47)</f>
        <v>347991.33333333331</v>
      </c>
      <c r="F47" s="163">
        <f t="shared" si="13"/>
        <v>4786096.64577216</v>
      </c>
      <c r="G47" s="165">
        <f t="shared" si="14"/>
        <v>883704.99699106254</v>
      </c>
      <c r="H47" s="147">
        <f t="shared" si="15"/>
        <v>883704.99699106254</v>
      </c>
      <c r="I47" s="160">
        <f t="shared" si="0"/>
        <v>0</v>
      </c>
      <c r="J47" s="160"/>
      <c r="K47" s="335"/>
      <c r="L47" s="162">
        <f t="shared" si="1"/>
        <v>0</v>
      </c>
      <c r="M47" s="335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6"/>
        <v/>
      </c>
      <c r="C48" s="157">
        <f>IF(D11="","-",+C47+1)</f>
        <v>2039</v>
      </c>
      <c r="D48" s="163">
        <f>IF(F47+SUM(E$17:E47)=D$10,F47,D$10-SUM(E$17:E47))</f>
        <v>4786096.64577216</v>
      </c>
      <c r="E48" s="164">
        <f>IF(+I14&lt;F47,I14,D48)</f>
        <v>347991.33333333331</v>
      </c>
      <c r="F48" s="163">
        <f t="shared" si="13"/>
        <v>4438105.312438827</v>
      </c>
      <c r="G48" s="165">
        <f t="shared" si="14"/>
        <v>846120.2706677987</v>
      </c>
      <c r="H48" s="147">
        <f t="shared" si="15"/>
        <v>846120.2706677987</v>
      </c>
      <c r="I48" s="160">
        <f t="shared" si="0"/>
        <v>0</v>
      </c>
      <c r="J48" s="160"/>
      <c r="K48" s="335"/>
      <c r="L48" s="162">
        <f t="shared" si="1"/>
        <v>0</v>
      </c>
      <c r="M48" s="335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6"/>
        <v/>
      </c>
      <c r="C49" s="157">
        <f>IF(D11="","-",+C48+1)</f>
        <v>2040</v>
      </c>
      <c r="D49" s="163">
        <f>IF(F48+SUM(E$17:E48)=D$10,F48,D$10-SUM(E$17:E48))</f>
        <v>4438105.312438827</v>
      </c>
      <c r="E49" s="164">
        <f>IF(+I14&lt;F48,I14,D49)</f>
        <v>347991.33333333331</v>
      </c>
      <c r="F49" s="163">
        <f t="shared" si="13"/>
        <v>4090113.9791054935</v>
      </c>
      <c r="G49" s="165">
        <f t="shared" si="14"/>
        <v>808535.54434453486</v>
      </c>
      <c r="H49" s="147">
        <f t="shared" si="15"/>
        <v>808535.54434453486</v>
      </c>
      <c r="I49" s="160">
        <f t="shared" ref="I49:I72" si="16">H49-G49</f>
        <v>0</v>
      </c>
      <c r="J49" s="160"/>
      <c r="K49" s="335"/>
      <c r="L49" s="162">
        <f t="shared" ref="L49:L72" si="17">IF(K49&lt;&gt;0,+G49-K49,0)</f>
        <v>0</v>
      </c>
      <c r="M49" s="335"/>
      <c r="N49" s="162">
        <f t="shared" ref="N49:N72" si="18">IF(M49&lt;&gt;0,+H49-M49,0)</f>
        <v>0</v>
      </c>
      <c r="O49" s="162">
        <f t="shared" ref="O49:O72" si="19">+N49-L49</f>
        <v>0</v>
      </c>
      <c r="P49" s="4"/>
    </row>
    <row r="50" spans="2:16">
      <c r="B50" s="9" t="str">
        <f t="shared" si="6"/>
        <v/>
      </c>
      <c r="C50" s="157">
        <f>IF(D11="","-",+C49+1)</f>
        <v>2041</v>
      </c>
      <c r="D50" s="163">
        <f>IF(F49+SUM(E$17:E49)=D$10,F49,D$10-SUM(E$17:E49))</f>
        <v>4090113.9791054935</v>
      </c>
      <c r="E50" s="164">
        <f>IF(+I14&lt;F49,I14,D50)</f>
        <v>347991.33333333331</v>
      </c>
      <c r="F50" s="163">
        <f t="shared" si="13"/>
        <v>3742122.64577216</v>
      </c>
      <c r="G50" s="165">
        <f t="shared" si="14"/>
        <v>770950.81802127114</v>
      </c>
      <c r="H50" s="147">
        <f t="shared" si="15"/>
        <v>770950.81802127114</v>
      </c>
      <c r="I50" s="160">
        <f t="shared" si="16"/>
        <v>0</v>
      </c>
      <c r="J50" s="160"/>
      <c r="K50" s="335"/>
      <c r="L50" s="162">
        <f t="shared" si="17"/>
        <v>0</v>
      </c>
      <c r="M50" s="335"/>
      <c r="N50" s="162">
        <f t="shared" si="18"/>
        <v>0</v>
      </c>
      <c r="O50" s="162">
        <f t="shared" si="19"/>
        <v>0</v>
      </c>
      <c r="P50" s="4"/>
    </row>
    <row r="51" spans="2:16">
      <c r="B51" s="9" t="str">
        <f t="shared" si="6"/>
        <v/>
      </c>
      <c r="C51" s="157">
        <f>IF(D11="","-",+C50+1)</f>
        <v>2042</v>
      </c>
      <c r="D51" s="163">
        <f>IF(F50+SUM(E$17:E50)=D$10,F50,D$10-SUM(E$17:E50))</f>
        <v>3742122.64577216</v>
      </c>
      <c r="E51" s="164">
        <f>IF(+I14&lt;F50,I14,D51)</f>
        <v>347991.33333333331</v>
      </c>
      <c r="F51" s="163">
        <f t="shared" si="13"/>
        <v>3394131.3124388265</v>
      </c>
      <c r="G51" s="165">
        <f t="shared" si="14"/>
        <v>733366.09169800719</v>
      </c>
      <c r="H51" s="147">
        <f t="shared" si="15"/>
        <v>733366.09169800719</v>
      </c>
      <c r="I51" s="160">
        <f t="shared" si="16"/>
        <v>0</v>
      </c>
      <c r="J51" s="160"/>
      <c r="K51" s="335"/>
      <c r="L51" s="162">
        <f t="shared" si="17"/>
        <v>0</v>
      </c>
      <c r="M51" s="335"/>
      <c r="N51" s="162">
        <f t="shared" si="18"/>
        <v>0</v>
      </c>
      <c r="O51" s="162">
        <f t="shared" si="19"/>
        <v>0</v>
      </c>
      <c r="P51" s="4"/>
    </row>
    <row r="52" spans="2:16">
      <c r="B52" s="9" t="str">
        <f t="shared" si="6"/>
        <v/>
      </c>
      <c r="C52" s="157">
        <f>IF(D11="","-",+C51+1)</f>
        <v>2043</v>
      </c>
      <c r="D52" s="163">
        <f>IF(F51+SUM(E$17:E51)=D$10,F51,D$10-SUM(E$17:E51))</f>
        <v>3394131.3124388265</v>
      </c>
      <c r="E52" s="164">
        <f>IF(+I14&lt;F51,I14,D52)</f>
        <v>347991.33333333331</v>
      </c>
      <c r="F52" s="163">
        <f t="shared" si="13"/>
        <v>3046139.9791054931</v>
      </c>
      <c r="G52" s="165">
        <f t="shared" si="14"/>
        <v>695781.36537474347</v>
      </c>
      <c r="H52" s="147">
        <f t="shared" si="15"/>
        <v>695781.36537474347</v>
      </c>
      <c r="I52" s="160">
        <f t="shared" si="16"/>
        <v>0</v>
      </c>
      <c r="J52" s="160"/>
      <c r="K52" s="335"/>
      <c r="L52" s="162">
        <f t="shared" si="17"/>
        <v>0</v>
      </c>
      <c r="M52" s="335"/>
      <c r="N52" s="162">
        <f t="shared" si="18"/>
        <v>0</v>
      </c>
      <c r="O52" s="162">
        <f t="shared" si="19"/>
        <v>0</v>
      </c>
      <c r="P52" s="4"/>
    </row>
    <row r="53" spans="2:16">
      <c r="B53" s="9" t="str">
        <f t="shared" si="6"/>
        <v/>
      </c>
      <c r="C53" s="157">
        <f>IF(D11="","-",+C52+1)</f>
        <v>2044</v>
      </c>
      <c r="D53" s="163">
        <f>IF(F52+SUM(E$17:E52)=D$10,F52,D$10-SUM(E$17:E52))</f>
        <v>3046139.9791054931</v>
      </c>
      <c r="E53" s="164">
        <f>IF(+I14&lt;F52,I14,D53)</f>
        <v>347991.33333333331</v>
      </c>
      <c r="F53" s="163">
        <f t="shared" si="13"/>
        <v>2698148.6457721596</v>
      </c>
      <c r="G53" s="165">
        <f t="shared" si="14"/>
        <v>658196.63905147952</v>
      </c>
      <c r="H53" s="147">
        <f t="shared" si="15"/>
        <v>658196.63905147952</v>
      </c>
      <c r="I53" s="160">
        <f t="shared" si="16"/>
        <v>0</v>
      </c>
      <c r="J53" s="160"/>
      <c r="K53" s="335"/>
      <c r="L53" s="162">
        <f t="shared" si="17"/>
        <v>0</v>
      </c>
      <c r="M53" s="335"/>
      <c r="N53" s="162">
        <f t="shared" si="18"/>
        <v>0</v>
      </c>
      <c r="O53" s="162">
        <f t="shared" si="19"/>
        <v>0</v>
      </c>
      <c r="P53" s="4"/>
    </row>
    <row r="54" spans="2:16">
      <c r="B54" s="9" t="str">
        <f t="shared" si="6"/>
        <v/>
      </c>
      <c r="C54" s="157">
        <f>IF(D11="","-",+C53+1)</f>
        <v>2045</v>
      </c>
      <c r="D54" s="163">
        <f>IF(F53+SUM(E$17:E53)=D$10,F53,D$10-SUM(E$17:E53))</f>
        <v>2698148.6457721596</v>
      </c>
      <c r="E54" s="164">
        <f>IF(+I14&lt;F53,I14,D54)</f>
        <v>347991.33333333331</v>
      </c>
      <c r="F54" s="163">
        <f t="shared" si="13"/>
        <v>2350157.3124388261</v>
      </c>
      <c r="G54" s="165">
        <f t="shared" si="14"/>
        <v>620611.9127282158</v>
      </c>
      <c r="H54" s="147">
        <f t="shared" si="15"/>
        <v>620611.9127282158</v>
      </c>
      <c r="I54" s="160">
        <f t="shared" si="16"/>
        <v>0</v>
      </c>
      <c r="J54" s="160"/>
      <c r="K54" s="335"/>
      <c r="L54" s="162">
        <f t="shared" si="17"/>
        <v>0</v>
      </c>
      <c r="M54" s="335"/>
      <c r="N54" s="162">
        <f t="shared" si="18"/>
        <v>0</v>
      </c>
      <c r="O54" s="162">
        <f t="shared" si="19"/>
        <v>0</v>
      </c>
      <c r="P54" s="4"/>
    </row>
    <row r="55" spans="2:16">
      <c r="B55" s="9" t="str">
        <f t="shared" si="6"/>
        <v/>
      </c>
      <c r="C55" s="157">
        <f>IF(D11="","-",+C54+1)</f>
        <v>2046</v>
      </c>
      <c r="D55" s="163">
        <f>IF(F54+SUM(E$17:E54)=D$10,F54,D$10-SUM(E$17:E54))</f>
        <v>2350157.3124388261</v>
      </c>
      <c r="E55" s="164">
        <f>IF(+I14&lt;F54,I14,D55)</f>
        <v>347991.33333333331</v>
      </c>
      <c r="F55" s="163">
        <f t="shared" si="13"/>
        <v>2002165.9791054928</v>
      </c>
      <c r="G55" s="165">
        <f t="shared" si="14"/>
        <v>583027.18640495196</v>
      </c>
      <c r="H55" s="147">
        <f t="shared" si="15"/>
        <v>583027.18640495196</v>
      </c>
      <c r="I55" s="160">
        <f t="shared" si="16"/>
        <v>0</v>
      </c>
      <c r="J55" s="160"/>
      <c r="K55" s="335"/>
      <c r="L55" s="162">
        <f t="shared" si="17"/>
        <v>0</v>
      </c>
      <c r="M55" s="335"/>
      <c r="N55" s="162">
        <f t="shared" si="18"/>
        <v>0</v>
      </c>
      <c r="O55" s="162">
        <f t="shared" si="19"/>
        <v>0</v>
      </c>
      <c r="P55" s="4"/>
    </row>
    <row r="56" spans="2:16">
      <c r="B56" s="9" t="str">
        <f t="shared" si="6"/>
        <v/>
      </c>
      <c r="C56" s="157">
        <f>IF(D11="","-",+C55+1)</f>
        <v>2047</v>
      </c>
      <c r="D56" s="163">
        <f>IF(F55+SUM(E$17:E55)=D$10,F55,D$10-SUM(E$17:E55))</f>
        <v>2002165.9791054928</v>
      </c>
      <c r="E56" s="164">
        <f>IF(+I14&lt;F55,I14,D56)</f>
        <v>347991.33333333331</v>
      </c>
      <c r="F56" s="163">
        <f t="shared" si="13"/>
        <v>1654174.6457721596</v>
      </c>
      <c r="G56" s="165">
        <f t="shared" si="14"/>
        <v>545442.46008168813</v>
      </c>
      <c r="H56" s="147">
        <f t="shared" si="15"/>
        <v>545442.46008168813</v>
      </c>
      <c r="I56" s="160">
        <f t="shared" si="16"/>
        <v>0</v>
      </c>
      <c r="J56" s="160"/>
      <c r="K56" s="335"/>
      <c r="L56" s="162">
        <f t="shared" si="17"/>
        <v>0</v>
      </c>
      <c r="M56" s="335"/>
      <c r="N56" s="162">
        <f t="shared" si="18"/>
        <v>0</v>
      </c>
      <c r="O56" s="162">
        <f t="shared" si="19"/>
        <v>0</v>
      </c>
      <c r="P56" s="4"/>
    </row>
    <row r="57" spans="2:16">
      <c r="B57" s="9" t="str">
        <f t="shared" si="6"/>
        <v/>
      </c>
      <c r="C57" s="157">
        <f>IF(D11="","-",+C56+1)</f>
        <v>2048</v>
      </c>
      <c r="D57" s="163">
        <f>IF(F56+SUM(E$17:E56)=D$10,F56,D$10-SUM(E$17:E56))</f>
        <v>1654174.6457721596</v>
      </c>
      <c r="E57" s="164">
        <f>IF(+I14&lt;F56,I14,D57)</f>
        <v>347991.33333333331</v>
      </c>
      <c r="F57" s="163">
        <f t="shared" si="13"/>
        <v>1306183.3124388263</v>
      </c>
      <c r="G57" s="165">
        <f t="shared" si="14"/>
        <v>507857.73375842435</v>
      </c>
      <c r="H57" s="147">
        <f t="shared" si="15"/>
        <v>507857.73375842435</v>
      </c>
      <c r="I57" s="160">
        <f t="shared" si="16"/>
        <v>0</v>
      </c>
      <c r="J57" s="160"/>
      <c r="K57" s="335"/>
      <c r="L57" s="162">
        <f t="shared" si="17"/>
        <v>0</v>
      </c>
      <c r="M57" s="335"/>
      <c r="N57" s="162">
        <f t="shared" si="18"/>
        <v>0</v>
      </c>
      <c r="O57" s="162">
        <f t="shared" si="19"/>
        <v>0</v>
      </c>
      <c r="P57" s="4"/>
    </row>
    <row r="58" spans="2:16">
      <c r="B58" s="9" t="str">
        <f t="shared" si="6"/>
        <v/>
      </c>
      <c r="C58" s="157">
        <f>IF(D11="","-",+C57+1)</f>
        <v>2049</v>
      </c>
      <c r="D58" s="163">
        <f>IF(F57+SUM(E$17:E57)=D$10,F57,D$10-SUM(E$17:E57))</f>
        <v>1306183.3124388263</v>
      </c>
      <c r="E58" s="164">
        <f>IF(+I14&lt;F57,I14,D58)</f>
        <v>347991.33333333331</v>
      </c>
      <c r="F58" s="163">
        <f t="shared" si="13"/>
        <v>958191.97910549305</v>
      </c>
      <c r="G58" s="165">
        <f t="shared" si="14"/>
        <v>470273.00743516051</v>
      </c>
      <c r="H58" s="147">
        <f t="shared" si="15"/>
        <v>470273.00743516051</v>
      </c>
      <c r="I58" s="160">
        <f t="shared" si="16"/>
        <v>0</v>
      </c>
      <c r="J58" s="160"/>
      <c r="K58" s="335"/>
      <c r="L58" s="162">
        <f t="shared" si="17"/>
        <v>0</v>
      </c>
      <c r="M58" s="335"/>
      <c r="N58" s="162">
        <f t="shared" si="18"/>
        <v>0</v>
      </c>
      <c r="O58" s="162">
        <f t="shared" si="19"/>
        <v>0</v>
      </c>
      <c r="P58" s="4"/>
    </row>
    <row r="59" spans="2:16">
      <c r="B59" s="9" t="str">
        <f t="shared" si="6"/>
        <v/>
      </c>
      <c r="C59" s="157">
        <f>IF(D11="","-",+C58+1)</f>
        <v>2050</v>
      </c>
      <c r="D59" s="163">
        <f>IF(F58+SUM(E$17:E58)=D$10,F58,D$10-SUM(E$17:E58))</f>
        <v>958191.97910549305</v>
      </c>
      <c r="E59" s="164">
        <f>IF(+I14&lt;F58,I14,D59)</f>
        <v>347991.33333333331</v>
      </c>
      <c r="F59" s="163">
        <f t="shared" si="13"/>
        <v>610200.6457721598</v>
      </c>
      <c r="G59" s="165">
        <f t="shared" si="14"/>
        <v>432688.28111189674</v>
      </c>
      <c r="H59" s="147">
        <f t="shared" si="15"/>
        <v>432688.28111189674</v>
      </c>
      <c r="I59" s="160">
        <f t="shared" si="16"/>
        <v>0</v>
      </c>
      <c r="J59" s="160"/>
      <c r="K59" s="335"/>
      <c r="L59" s="162">
        <f t="shared" si="17"/>
        <v>0</v>
      </c>
      <c r="M59" s="335"/>
      <c r="N59" s="162">
        <f t="shared" si="18"/>
        <v>0</v>
      </c>
      <c r="O59" s="162">
        <f t="shared" si="19"/>
        <v>0</v>
      </c>
      <c r="P59" s="4"/>
    </row>
    <row r="60" spans="2:16">
      <c r="B60" s="9" t="str">
        <f t="shared" si="6"/>
        <v/>
      </c>
      <c r="C60" s="157">
        <f>IF(D11="","-",+C59+1)</f>
        <v>2051</v>
      </c>
      <c r="D60" s="163">
        <f>IF(F59+SUM(E$17:E59)=D$10,F59,D$10-SUM(E$17:E59))</f>
        <v>610200.6457721598</v>
      </c>
      <c r="E60" s="164">
        <f>IF(+I14&lt;F59,I14,D60)</f>
        <v>347991.33333333331</v>
      </c>
      <c r="F60" s="163">
        <f t="shared" si="13"/>
        <v>262209.31243882648</v>
      </c>
      <c r="G60" s="165">
        <f t="shared" si="14"/>
        <v>395103.5547886329</v>
      </c>
      <c r="H60" s="147">
        <f t="shared" si="15"/>
        <v>395103.5547886329</v>
      </c>
      <c r="I60" s="160">
        <f t="shared" si="16"/>
        <v>0</v>
      </c>
      <c r="J60" s="160"/>
      <c r="K60" s="335"/>
      <c r="L60" s="162">
        <f t="shared" si="17"/>
        <v>0</v>
      </c>
      <c r="M60" s="335"/>
      <c r="N60" s="162">
        <f t="shared" si="18"/>
        <v>0</v>
      </c>
      <c r="O60" s="162">
        <f t="shared" si="19"/>
        <v>0</v>
      </c>
      <c r="P60" s="4"/>
    </row>
    <row r="61" spans="2:16">
      <c r="B61" s="9" t="str">
        <f t="shared" si="6"/>
        <v/>
      </c>
      <c r="C61" s="157">
        <f>IF(D11="","-",+C60+1)</f>
        <v>2052</v>
      </c>
      <c r="D61" s="163">
        <f>IF(F60+SUM(E$17:E60)=D$10,F60,D$10-SUM(E$17:E60))</f>
        <v>262209.31243882648</v>
      </c>
      <c r="E61" s="164">
        <f>IF(+I14&lt;F60,I14,D61)</f>
        <v>262209.31243882648</v>
      </c>
      <c r="F61" s="163">
        <f t="shared" si="13"/>
        <v>0</v>
      </c>
      <c r="G61" s="165">
        <f t="shared" si="14"/>
        <v>276369.24158566032</v>
      </c>
      <c r="H61" s="147">
        <f t="shared" si="15"/>
        <v>276369.24158566032</v>
      </c>
      <c r="I61" s="160">
        <f t="shared" si="16"/>
        <v>0</v>
      </c>
      <c r="J61" s="160"/>
      <c r="K61" s="335"/>
      <c r="L61" s="162">
        <f t="shared" si="17"/>
        <v>0</v>
      </c>
      <c r="M61" s="335"/>
      <c r="N61" s="162">
        <f t="shared" si="18"/>
        <v>0</v>
      </c>
      <c r="O61" s="162">
        <f t="shared" si="19"/>
        <v>0</v>
      </c>
      <c r="P61" s="4"/>
    </row>
    <row r="62" spans="2:16">
      <c r="B62" s="9" t="str">
        <f t="shared" si="6"/>
        <v/>
      </c>
      <c r="C62" s="157">
        <f>IF(D11="","-",+C61+1)</f>
        <v>2053</v>
      </c>
      <c r="D62" s="163">
        <f>IF(F61+SUM(E$17:E61)=D$10,F61,D$10-SUM(E$17:E61))</f>
        <v>0</v>
      </c>
      <c r="E62" s="164">
        <f>IF(+I14&lt;F61,I14,D62)</f>
        <v>0</v>
      </c>
      <c r="F62" s="163">
        <f t="shared" si="13"/>
        <v>0</v>
      </c>
      <c r="G62" s="165">
        <f t="shared" si="14"/>
        <v>0</v>
      </c>
      <c r="H62" s="147">
        <f t="shared" si="15"/>
        <v>0</v>
      </c>
      <c r="I62" s="160">
        <f t="shared" si="16"/>
        <v>0</v>
      </c>
      <c r="J62" s="160"/>
      <c r="K62" s="335"/>
      <c r="L62" s="162">
        <f t="shared" si="17"/>
        <v>0</v>
      </c>
      <c r="M62" s="335"/>
      <c r="N62" s="162">
        <f t="shared" si="18"/>
        <v>0</v>
      </c>
      <c r="O62" s="162">
        <f t="shared" si="19"/>
        <v>0</v>
      </c>
      <c r="P62" s="4"/>
    </row>
    <row r="63" spans="2:16">
      <c r="B63" s="9" t="str">
        <f t="shared" si="6"/>
        <v/>
      </c>
      <c r="C63" s="157">
        <f>IF(D11="","-",+C62+1)</f>
        <v>2054</v>
      </c>
      <c r="D63" s="163">
        <f>IF(F62+SUM(E$17:E62)=D$10,F62,D$10-SUM(E$17:E62))</f>
        <v>0</v>
      </c>
      <c r="E63" s="164">
        <f>IF(+I14&lt;F62,I14,D63)</f>
        <v>0</v>
      </c>
      <c r="F63" s="163">
        <f t="shared" si="13"/>
        <v>0</v>
      </c>
      <c r="G63" s="165">
        <f t="shared" si="14"/>
        <v>0</v>
      </c>
      <c r="H63" s="147">
        <f t="shared" si="15"/>
        <v>0</v>
      </c>
      <c r="I63" s="160">
        <f t="shared" si="16"/>
        <v>0</v>
      </c>
      <c r="J63" s="160"/>
      <c r="K63" s="335"/>
      <c r="L63" s="162">
        <f t="shared" si="17"/>
        <v>0</v>
      </c>
      <c r="M63" s="335"/>
      <c r="N63" s="162">
        <f t="shared" si="18"/>
        <v>0</v>
      </c>
      <c r="O63" s="162">
        <f t="shared" si="19"/>
        <v>0</v>
      </c>
      <c r="P63" s="4"/>
    </row>
    <row r="64" spans="2:16">
      <c r="B64" s="9" t="str">
        <f t="shared" si="6"/>
        <v/>
      </c>
      <c r="C64" s="157">
        <f>IF(D11="","-",+C63+1)</f>
        <v>2055</v>
      </c>
      <c r="D64" s="163">
        <f>IF(F63+SUM(E$17:E63)=D$10,F63,D$10-SUM(E$17:E63))</f>
        <v>0</v>
      </c>
      <c r="E64" s="164">
        <f>IF(+I14&lt;F63,I14,D64)</f>
        <v>0</v>
      </c>
      <c r="F64" s="163">
        <f t="shared" si="13"/>
        <v>0</v>
      </c>
      <c r="G64" s="165">
        <f t="shared" si="14"/>
        <v>0</v>
      </c>
      <c r="H64" s="147">
        <f t="shared" si="15"/>
        <v>0</v>
      </c>
      <c r="I64" s="160">
        <f t="shared" si="16"/>
        <v>0</v>
      </c>
      <c r="J64" s="160"/>
      <c r="K64" s="335"/>
      <c r="L64" s="162">
        <f t="shared" si="17"/>
        <v>0</v>
      </c>
      <c r="M64" s="335"/>
      <c r="N64" s="162">
        <f t="shared" si="18"/>
        <v>0</v>
      </c>
      <c r="O64" s="162">
        <f t="shared" si="19"/>
        <v>0</v>
      </c>
      <c r="P64" s="4"/>
    </row>
    <row r="65" spans="2:16">
      <c r="B65" s="9" t="str">
        <f t="shared" si="6"/>
        <v/>
      </c>
      <c r="C65" s="157">
        <f>IF(D11="","-",+C64+1)</f>
        <v>2056</v>
      </c>
      <c r="D65" s="163">
        <f>IF(F64+SUM(E$17:E64)=D$10,F64,D$10-SUM(E$17:E64))</f>
        <v>0</v>
      </c>
      <c r="E65" s="164">
        <f>IF(+I14&lt;F64,I14,D65)</f>
        <v>0</v>
      </c>
      <c r="F65" s="163">
        <f t="shared" si="13"/>
        <v>0</v>
      </c>
      <c r="G65" s="165">
        <f t="shared" si="14"/>
        <v>0</v>
      </c>
      <c r="H65" s="147">
        <f t="shared" si="15"/>
        <v>0</v>
      </c>
      <c r="I65" s="160">
        <f t="shared" si="16"/>
        <v>0</v>
      </c>
      <c r="J65" s="160"/>
      <c r="K65" s="335"/>
      <c r="L65" s="162">
        <f t="shared" si="17"/>
        <v>0</v>
      </c>
      <c r="M65" s="335"/>
      <c r="N65" s="162">
        <f t="shared" si="18"/>
        <v>0</v>
      </c>
      <c r="O65" s="162">
        <f t="shared" si="19"/>
        <v>0</v>
      </c>
      <c r="P65" s="4"/>
    </row>
    <row r="66" spans="2:16">
      <c r="B66" s="9" t="str">
        <f t="shared" si="6"/>
        <v/>
      </c>
      <c r="C66" s="157">
        <f>IF(D11="","-",+C65+1)</f>
        <v>2057</v>
      </c>
      <c r="D66" s="163">
        <f>IF(F65+SUM(E$17:E65)=D$10,F65,D$10-SUM(E$17:E65))</f>
        <v>0</v>
      </c>
      <c r="E66" s="164">
        <f>IF(+I14&lt;F65,I14,D66)</f>
        <v>0</v>
      </c>
      <c r="F66" s="163">
        <f t="shared" si="13"/>
        <v>0</v>
      </c>
      <c r="G66" s="165">
        <f t="shared" si="14"/>
        <v>0</v>
      </c>
      <c r="H66" s="147">
        <f t="shared" si="15"/>
        <v>0</v>
      </c>
      <c r="I66" s="160">
        <f t="shared" si="16"/>
        <v>0</v>
      </c>
      <c r="J66" s="160"/>
      <c r="K66" s="335"/>
      <c r="L66" s="162">
        <f t="shared" si="17"/>
        <v>0</v>
      </c>
      <c r="M66" s="335"/>
      <c r="N66" s="162">
        <f t="shared" si="18"/>
        <v>0</v>
      </c>
      <c r="O66" s="162">
        <f t="shared" si="19"/>
        <v>0</v>
      </c>
      <c r="P66" s="4"/>
    </row>
    <row r="67" spans="2:16">
      <c r="B67" s="9" t="str">
        <f t="shared" si="6"/>
        <v/>
      </c>
      <c r="C67" s="157">
        <f>IF(D11="","-",+C66+1)</f>
        <v>2058</v>
      </c>
      <c r="D67" s="163">
        <f>IF(F66+SUM(E$17:E66)=D$10,F66,D$10-SUM(E$17:E66))</f>
        <v>0</v>
      </c>
      <c r="E67" s="164">
        <f>IF(+I14&lt;F66,I14,D67)</f>
        <v>0</v>
      </c>
      <c r="F67" s="163">
        <f t="shared" si="13"/>
        <v>0</v>
      </c>
      <c r="G67" s="165">
        <f t="shared" si="14"/>
        <v>0</v>
      </c>
      <c r="H67" s="147">
        <f t="shared" si="15"/>
        <v>0</v>
      </c>
      <c r="I67" s="160">
        <f t="shared" si="16"/>
        <v>0</v>
      </c>
      <c r="J67" s="160"/>
      <c r="K67" s="335"/>
      <c r="L67" s="162">
        <f t="shared" si="17"/>
        <v>0</v>
      </c>
      <c r="M67" s="335"/>
      <c r="N67" s="162">
        <f t="shared" si="18"/>
        <v>0</v>
      </c>
      <c r="O67" s="162">
        <f t="shared" si="19"/>
        <v>0</v>
      </c>
      <c r="P67" s="4"/>
    </row>
    <row r="68" spans="2:16">
      <c r="B68" s="9" t="str">
        <f t="shared" si="6"/>
        <v/>
      </c>
      <c r="C68" s="157">
        <f>IF(D11="","-",+C67+1)</f>
        <v>2059</v>
      </c>
      <c r="D68" s="163">
        <f>IF(F67+SUM(E$17:E67)=D$10,F67,D$10-SUM(E$17:E67))</f>
        <v>0</v>
      </c>
      <c r="E68" s="164">
        <f>IF(+I14&lt;F67,I14,D68)</f>
        <v>0</v>
      </c>
      <c r="F68" s="163">
        <f t="shared" si="13"/>
        <v>0</v>
      </c>
      <c r="G68" s="165">
        <f t="shared" si="14"/>
        <v>0</v>
      </c>
      <c r="H68" s="147">
        <f t="shared" si="15"/>
        <v>0</v>
      </c>
      <c r="I68" s="160">
        <f t="shared" si="16"/>
        <v>0</v>
      </c>
      <c r="J68" s="160"/>
      <c r="K68" s="335"/>
      <c r="L68" s="162">
        <f t="shared" si="17"/>
        <v>0</v>
      </c>
      <c r="M68" s="335"/>
      <c r="N68" s="162">
        <f t="shared" si="18"/>
        <v>0</v>
      </c>
      <c r="O68" s="162">
        <f t="shared" si="19"/>
        <v>0</v>
      </c>
      <c r="P68" s="4"/>
    </row>
    <row r="69" spans="2:16">
      <c r="B69" s="9" t="str">
        <f t="shared" si="6"/>
        <v/>
      </c>
      <c r="C69" s="157">
        <f>IF(D11="","-",+C68+1)</f>
        <v>2060</v>
      </c>
      <c r="D69" s="163">
        <f>IF(F68+SUM(E$17:E68)=D$10,F68,D$10-SUM(E$17:E68))</f>
        <v>0</v>
      </c>
      <c r="E69" s="164">
        <f>IF(+I14&lt;F68,I14,D69)</f>
        <v>0</v>
      </c>
      <c r="F69" s="163">
        <f t="shared" si="13"/>
        <v>0</v>
      </c>
      <c r="G69" s="165">
        <f t="shared" si="14"/>
        <v>0</v>
      </c>
      <c r="H69" s="147">
        <f t="shared" si="15"/>
        <v>0</v>
      </c>
      <c r="I69" s="160">
        <f t="shared" si="16"/>
        <v>0</v>
      </c>
      <c r="J69" s="160"/>
      <c r="K69" s="335"/>
      <c r="L69" s="162">
        <f t="shared" si="17"/>
        <v>0</v>
      </c>
      <c r="M69" s="335"/>
      <c r="N69" s="162">
        <f t="shared" si="18"/>
        <v>0</v>
      </c>
      <c r="O69" s="162">
        <f t="shared" si="19"/>
        <v>0</v>
      </c>
      <c r="P69" s="4"/>
    </row>
    <row r="70" spans="2:16">
      <c r="B70" s="9" t="str">
        <f t="shared" si="6"/>
        <v/>
      </c>
      <c r="C70" s="157">
        <f>IF(D11="","-",+C69+1)</f>
        <v>2061</v>
      </c>
      <c r="D70" s="163">
        <f>IF(F69+SUM(E$17:E69)=D$10,F69,D$10-SUM(E$17:E69))</f>
        <v>0</v>
      </c>
      <c r="E70" s="164">
        <f>IF(+I14&lt;F69,I14,D70)</f>
        <v>0</v>
      </c>
      <c r="F70" s="163">
        <f t="shared" si="13"/>
        <v>0</v>
      </c>
      <c r="G70" s="165">
        <f t="shared" si="14"/>
        <v>0</v>
      </c>
      <c r="H70" s="147">
        <f t="shared" si="15"/>
        <v>0</v>
      </c>
      <c r="I70" s="160">
        <f t="shared" si="16"/>
        <v>0</v>
      </c>
      <c r="J70" s="160"/>
      <c r="K70" s="335"/>
      <c r="L70" s="162">
        <f t="shared" si="17"/>
        <v>0</v>
      </c>
      <c r="M70" s="335"/>
      <c r="N70" s="162">
        <f t="shared" si="18"/>
        <v>0</v>
      </c>
      <c r="O70" s="162">
        <f t="shared" si="19"/>
        <v>0</v>
      </c>
      <c r="P70" s="4"/>
    </row>
    <row r="71" spans="2:16">
      <c r="B71" s="9" t="str">
        <f t="shared" si="6"/>
        <v/>
      </c>
      <c r="C71" s="157">
        <f>IF(D11="","-",+C70+1)</f>
        <v>2062</v>
      </c>
      <c r="D71" s="163">
        <f>IF(F70+SUM(E$17:E70)=D$10,F70,D$10-SUM(E$17:E70))</f>
        <v>0</v>
      </c>
      <c r="E71" s="164">
        <f>IF(+I14&lt;F70,I14,D71)</f>
        <v>0</v>
      </c>
      <c r="F71" s="163">
        <f t="shared" si="13"/>
        <v>0</v>
      </c>
      <c r="G71" s="165">
        <f t="shared" si="14"/>
        <v>0</v>
      </c>
      <c r="H71" s="147">
        <f t="shared" si="15"/>
        <v>0</v>
      </c>
      <c r="I71" s="160">
        <f t="shared" si="16"/>
        <v>0</v>
      </c>
      <c r="J71" s="160"/>
      <c r="K71" s="335"/>
      <c r="L71" s="162">
        <f t="shared" si="17"/>
        <v>0</v>
      </c>
      <c r="M71" s="335"/>
      <c r="N71" s="162">
        <f t="shared" si="18"/>
        <v>0</v>
      </c>
      <c r="O71" s="162">
        <f t="shared" si="19"/>
        <v>0</v>
      </c>
      <c r="P71" s="4"/>
    </row>
    <row r="72" spans="2:16" ht="13.5" thickBot="1">
      <c r="B72" s="9" t="str">
        <f t="shared" si="6"/>
        <v/>
      </c>
      <c r="C72" s="168">
        <f>IF(D11="","-",+C71+1)</f>
        <v>2063</v>
      </c>
      <c r="D72" s="169">
        <f>IF(F71+SUM(E$17:E71)=D$10,F71,D$10-SUM(E$17:E71))</f>
        <v>0</v>
      </c>
      <c r="E72" s="170">
        <f>IF(+I14&lt;F71,I14,D72)</f>
        <v>0</v>
      </c>
      <c r="F72" s="169">
        <f t="shared" si="13"/>
        <v>0</v>
      </c>
      <c r="G72" s="169">
        <f t="shared" si="14"/>
        <v>0</v>
      </c>
      <c r="H72" s="169">
        <f t="shared" si="15"/>
        <v>0</v>
      </c>
      <c r="I72" s="172">
        <f t="shared" si="16"/>
        <v>0</v>
      </c>
      <c r="J72" s="160"/>
      <c r="K72" s="336"/>
      <c r="L72" s="173">
        <f t="shared" si="17"/>
        <v>0</v>
      </c>
      <c r="M72" s="336"/>
      <c r="N72" s="173">
        <f t="shared" si="18"/>
        <v>0</v>
      </c>
      <c r="O72" s="173">
        <f t="shared" si="19"/>
        <v>0</v>
      </c>
      <c r="P72" s="4"/>
    </row>
    <row r="73" spans="2:16">
      <c r="C73" s="158" t="s">
        <v>72</v>
      </c>
      <c r="D73" s="115"/>
      <c r="E73" s="115">
        <f>SUM(E17:E72)</f>
        <v>14615636.000000002</v>
      </c>
      <c r="F73" s="115"/>
      <c r="G73" s="115">
        <f>SUM(G17:G72)</f>
        <v>54907810.272055276</v>
      </c>
      <c r="H73" s="115">
        <f>SUM(H17:H72)</f>
        <v>54907810.272055276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4" t="str">
        <f ca="1">P1</f>
        <v>PSO Project 4 of 28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2018</v>
      </c>
      <c r="M86" s="261" t="s">
        <v>8</v>
      </c>
      <c r="N86" s="262" t="s">
        <v>148</v>
      </c>
      <c r="O86" s="263" t="s">
        <v>10</v>
      </c>
      <c r="P86" s="1" t="str">
        <f>O4</f>
        <v>WFEC DA Adjustment</v>
      </c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IF(J92&lt;D11,0,VLOOKUP(J92,C17:O72,9))-P87</f>
        <v>1895603.111111111</v>
      </c>
      <c r="N87" s="202">
        <f>IF(J92&lt;D11,0,VLOOKUP(J92,C17:O72,11))-P87</f>
        <v>1895603.111111111</v>
      </c>
      <c r="O87" s="203">
        <f>+N87-M87</f>
        <v>0</v>
      </c>
      <c r="P87" s="109">
        <f>O5</f>
        <v>15688.800000000001</v>
      </c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IF(J92&lt;D11,0,VLOOKUP(J92,C99:P154,6))-P87</f>
        <v>1530505.2</v>
      </c>
      <c r="N88" s="204">
        <f>IF(J92&lt;D11,0,VLOOKUP(J92,C99:P154,7))-P87</f>
        <v>1530505.2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Cache-Snyder to Altus Jct. 138 kV line (w/2 ring bus stations)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-365097.91111111105</v>
      </c>
      <c r="N89" s="207">
        <f>+N88-N87</f>
        <v>-365097.91111111105</v>
      </c>
      <c r="O89" s="208">
        <f>+O88-O87</f>
        <v>0</v>
      </c>
      <c r="P89" s="1"/>
    </row>
    <row r="90" spans="1:16" ht="13.5" thickBot="1">
      <c r="C90" s="174"/>
      <c r="D90" s="177">
        <f>D8</f>
        <v>0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 t="str">
        <f>+D9</f>
        <v>TP2004147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138">
        <v>14615636</v>
      </c>
      <c r="E92" s="22" t="s">
        <v>89</v>
      </c>
      <c r="H92" s="139"/>
      <c r="I92" s="139"/>
      <c r="J92" s="140">
        <f>+'PSO.WS.G.BPU.ATRR.True-up'!M16</f>
        <v>2018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2008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7</v>
      </c>
      <c r="E94" s="141" t="s">
        <v>51</v>
      </c>
      <c r="F94" s="139"/>
      <c r="G94" s="139"/>
      <c r="J94" s="145">
        <f>'PSO.WS.G.BPU.ATRR.True-up'!$F$81</f>
        <v>0.10273556682691798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43</v>
      </c>
      <c r="E95" s="141" t="s">
        <v>54</v>
      </c>
      <c r="F95" s="139"/>
      <c r="G95" s="139"/>
      <c r="J95" s="145">
        <f>IF(H87="",J94,'PSO.WS.G.BPU.ATRR.True-up'!$F$80)</f>
        <v>0.10273556682691798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339899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92</v>
      </c>
      <c r="H97" s="363" t="s">
        <v>277</v>
      </c>
      <c r="I97" s="339" t="s">
        <v>278</v>
      </c>
      <c r="J97" s="214" t="s">
        <v>93</v>
      </c>
      <c r="K97" s="216"/>
      <c r="L97" s="339" t="s">
        <v>203</v>
      </c>
      <c r="M97" s="151" t="s">
        <v>94</v>
      </c>
      <c r="N97" s="339" t="s">
        <v>203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271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2008</v>
      </c>
      <c r="D99" s="366">
        <v>0</v>
      </c>
      <c r="E99" s="368">
        <v>114341</v>
      </c>
      <c r="F99" s="371">
        <v>14429811</v>
      </c>
      <c r="G99" s="373">
        <f t="shared" ref="G99:G130" si="20">+(F99+D99)/2</f>
        <v>7214905.5</v>
      </c>
      <c r="H99" s="374">
        <v>1260396</v>
      </c>
      <c r="I99" s="375">
        <v>1260396</v>
      </c>
      <c r="J99" s="162">
        <f t="shared" ref="J99:J131" si="21">+I99-H99</f>
        <v>0</v>
      </c>
      <c r="K99" s="162"/>
      <c r="L99" s="337">
        <v>1260396</v>
      </c>
      <c r="M99" s="161">
        <f t="shared" ref="M99:M130" si="22">IF(L99&lt;&gt;0,+H99-L99,0)</f>
        <v>0</v>
      </c>
      <c r="N99" s="337">
        <f>+L99</f>
        <v>1260396</v>
      </c>
      <c r="O99" s="161">
        <f t="shared" ref="O99:O130" si="23">IF(N99&lt;&gt;0,+I99-N99,0)</f>
        <v>0</v>
      </c>
      <c r="P99" s="161">
        <f t="shared" ref="P99:P130" si="24">+O99-M99</f>
        <v>0</v>
      </c>
    </row>
    <row r="100" spans="1:16">
      <c r="B100" s="9" t="str">
        <f>IF(D100=F99,"","IU")</f>
        <v>IU</v>
      </c>
      <c r="C100" s="157">
        <f>IF(D93="","-",+C99+1)</f>
        <v>2009</v>
      </c>
      <c r="D100" s="366">
        <v>14569170</v>
      </c>
      <c r="E100" s="368">
        <v>262206</v>
      </c>
      <c r="F100" s="371">
        <v>14306964</v>
      </c>
      <c r="G100" s="371">
        <v>14438067</v>
      </c>
      <c r="H100" s="368">
        <v>2373171</v>
      </c>
      <c r="I100" s="370">
        <v>2373171</v>
      </c>
      <c r="J100" s="162">
        <f t="shared" si="21"/>
        <v>0</v>
      </c>
      <c r="K100" s="162"/>
      <c r="L100" s="338">
        <f t="shared" ref="L100:L105" si="25">H100</f>
        <v>2373171</v>
      </c>
      <c r="M100" s="162">
        <f t="shared" si="22"/>
        <v>0</v>
      </c>
      <c r="N100" s="338">
        <f t="shared" ref="N100:N105" si="26">I100</f>
        <v>2373171</v>
      </c>
      <c r="O100" s="162">
        <f t="shared" si="23"/>
        <v>0</v>
      </c>
      <c r="P100" s="162">
        <f t="shared" si="24"/>
        <v>0</v>
      </c>
    </row>
    <row r="101" spans="1:16">
      <c r="B101" s="9" t="str">
        <f t="shared" ref="B101:B154" si="27">IF(D101=F100,"","IU")</f>
        <v>IU</v>
      </c>
      <c r="C101" s="157">
        <f>IF(D93="","-",+C100+1)</f>
        <v>2010</v>
      </c>
      <c r="D101" s="366">
        <v>14239089</v>
      </c>
      <c r="E101" s="368">
        <v>286581</v>
      </c>
      <c r="F101" s="371">
        <v>13952508</v>
      </c>
      <c r="G101" s="371">
        <v>14095798.5</v>
      </c>
      <c r="H101" s="368">
        <v>2553400</v>
      </c>
      <c r="I101" s="370">
        <v>2553400</v>
      </c>
      <c r="J101" s="162">
        <f t="shared" si="21"/>
        <v>0</v>
      </c>
      <c r="K101" s="162"/>
      <c r="L101" s="380">
        <f t="shared" si="25"/>
        <v>2553400</v>
      </c>
      <c r="M101" s="381">
        <f t="shared" si="22"/>
        <v>0</v>
      </c>
      <c r="N101" s="380">
        <f t="shared" si="26"/>
        <v>2553400</v>
      </c>
      <c r="O101" s="162">
        <f t="shared" si="23"/>
        <v>0</v>
      </c>
      <c r="P101" s="162">
        <f t="shared" si="24"/>
        <v>0</v>
      </c>
    </row>
    <row r="102" spans="1:16">
      <c r="B102" s="9" t="str">
        <f t="shared" si="27"/>
        <v/>
      </c>
      <c r="C102" s="157">
        <f>IF(D93="","-",+C101+1)</f>
        <v>2011</v>
      </c>
      <c r="D102" s="366">
        <v>13952508</v>
      </c>
      <c r="E102" s="368">
        <v>281070</v>
      </c>
      <c r="F102" s="371">
        <v>13671438</v>
      </c>
      <c r="G102" s="371">
        <v>13811973</v>
      </c>
      <c r="H102" s="368">
        <v>2212169</v>
      </c>
      <c r="I102" s="370">
        <v>2212169</v>
      </c>
      <c r="J102" s="162">
        <f t="shared" si="21"/>
        <v>0</v>
      </c>
      <c r="K102" s="162"/>
      <c r="L102" s="380">
        <f t="shared" si="25"/>
        <v>2212169</v>
      </c>
      <c r="M102" s="381">
        <f t="shared" si="22"/>
        <v>0</v>
      </c>
      <c r="N102" s="380">
        <f t="shared" si="26"/>
        <v>2212169</v>
      </c>
      <c r="O102" s="162">
        <f t="shared" si="23"/>
        <v>0</v>
      </c>
      <c r="P102" s="162">
        <f t="shared" si="24"/>
        <v>0</v>
      </c>
    </row>
    <row r="103" spans="1:16">
      <c r="B103" s="9" t="str">
        <f t="shared" si="27"/>
        <v/>
      </c>
      <c r="C103" s="157">
        <f>IF(D93="","-",+C102+1)</f>
        <v>2012</v>
      </c>
      <c r="D103" s="366">
        <v>13671438</v>
      </c>
      <c r="E103" s="368">
        <v>281070</v>
      </c>
      <c r="F103" s="371">
        <v>13390368</v>
      </c>
      <c r="G103" s="371">
        <v>13530903</v>
      </c>
      <c r="H103" s="368">
        <v>2227565</v>
      </c>
      <c r="I103" s="370">
        <v>2227565</v>
      </c>
      <c r="J103" s="162">
        <v>0</v>
      </c>
      <c r="K103" s="162"/>
      <c r="L103" s="380">
        <f t="shared" si="25"/>
        <v>2227565</v>
      </c>
      <c r="M103" s="381">
        <f t="shared" ref="M103:M108" si="28">IF(L103&lt;&gt;0,+H103-L103,0)</f>
        <v>0</v>
      </c>
      <c r="N103" s="380">
        <f t="shared" si="26"/>
        <v>2227565</v>
      </c>
      <c r="O103" s="162">
        <f t="shared" ref="O103:O108" si="29">IF(N103&lt;&gt;0,+I103-N103,0)</f>
        <v>0</v>
      </c>
      <c r="P103" s="162">
        <f t="shared" ref="P103:P108" si="30">+O103-M103</f>
        <v>0</v>
      </c>
    </row>
    <row r="104" spans="1:16">
      <c r="B104" s="9" t="str">
        <f t="shared" si="27"/>
        <v/>
      </c>
      <c r="C104" s="157">
        <f>IF(D93="","-",+C103+1)</f>
        <v>2013</v>
      </c>
      <c r="D104" s="366">
        <v>13390368</v>
      </c>
      <c r="E104" s="368">
        <v>281070</v>
      </c>
      <c r="F104" s="371">
        <v>13109298</v>
      </c>
      <c r="G104" s="371">
        <v>13249833</v>
      </c>
      <c r="H104" s="368">
        <v>2188246</v>
      </c>
      <c r="I104" s="370">
        <v>2188246</v>
      </c>
      <c r="J104" s="162">
        <v>0</v>
      </c>
      <c r="K104" s="162"/>
      <c r="L104" s="380">
        <f t="shared" si="25"/>
        <v>2188246</v>
      </c>
      <c r="M104" s="381">
        <f t="shared" si="28"/>
        <v>0</v>
      </c>
      <c r="N104" s="380">
        <f t="shared" si="26"/>
        <v>2188246</v>
      </c>
      <c r="O104" s="162">
        <f t="shared" si="29"/>
        <v>0</v>
      </c>
      <c r="P104" s="162">
        <f t="shared" si="30"/>
        <v>0</v>
      </c>
    </row>
    <row r="105" spans="1:16">
      <c r="B105" s="9" t="str">
        <f t="shared" si="27"/>
        <v/>
      </c>
      <c r="C105" s="157">
        <f>IF(D93="","-",+C104+1)</f>
        <v>2014</v>
      </c>
      <c r="D105" s="366">
        <v>13109298</v>
      </c>
      <c r="E105" s="368">
        <v>281070</v>
      </c>
      <c r="F105" s="371">
        <v>12828228</v>
      </c>
      <c r="G105" s="371">
        <v>12968763</v>
      </c>
      <c r="H105" s="368">
        <v>2104425</v>
      </c>
      <c r="I105" s="370">
        <v>2104425</v>
      </c>
      <c r="J105" s="162">
        <v>0</v>
      </c>
      <c r="K105" s="162"/>
      <c r="L105" s="380">
        <f t="shared" si="25"/>
        <v>2104425</v>
      </c>
      <c r="M105" s="381">
        <f t="shared" si="28"/>
        <v>0</v>
      </c>
      <c r="N105" s="380">
        <f t="shared" si="26"/>
        <v>2104425</v>
      </c>
      <c r="O105" s="162">
        <f t="shared" si="29"/>
        <v>0</v>
      </c>
      <c r="P105" s="162">
        <f t="shared" si="30"/>
        <v>0</v>
      </c>
    </row>
    <row r="106" spans="1:16">
      <c r="B106" s="9" t="str">
        <f t="shared" si="27"/>
        <v/>
      </c>
      <c r="C106" s="157">
        <f>IF(D93="","-",+C105+1)</f>
        <v>2015</v>
      </c>
      <c r="D106" s="366">
        <v>12828228</v>
      </c>
      <c r="E106" s="368">
        <v>281070</v>
      </c>
      <c r="F106" s="371">
        <v>12547158</v>
      </c>
      <c r="G106" s="371">
        <v>12687693</v>
      </c>
      <c r="H106" s="368">
        <v>2012204</v>
      </c>
      <c r="I106" s="370">
        <v>2012204</v>
      </c>
      <c r="J106" s="162">
        <f t="shared" si="21"/>
        <v>0</v>
      </c>
      <c r="K106" s="162"/>
      <c r="L106" s="380">
        <f>H106</f>
        <v>2012204</v>
      </c>
      <c r="M106" s="381">
        <f t="shared" si="28"/>
        <v>0</v>
      </c>
      <c r="N106" s="380">
        <f>I106</f>
        <v>2012204</v>
      </c>
      <c r="O106" s="162">
        <f t="shared" si="29"/>
        <v>0</v>
      </c>
      <c r="P106" s="162">
        <f t="shared" si="30"/>
        <v>0</v>
      </c>
    </row>
    <row r="107" spans="1:16">
      <c r="B107" s="9" t="str">
        <f t="shared" si="27"/>
        <v/>
      </c>
      <c r="C107" s="157">
        <f>IF(D93="","-",+C106+1)</f>
        <v>2016</v>
      </c>
      <c r="D107" s="366">
        <v>12547158</v>
      </c>
      <c r="E107" s="368">
        <v>317731</v>
      </c>
      <c r="F107" s="371">
        <v>12229427</v>
      </c>
      <c r="G107" s="371">
        <v>12388292.5</v>
      </c>
      <c r="H107" s="368">
        <v>1914777</v>
      </c>
      <c r="I107" s="370">
        <v>1914777</v>
      </c>
      <c r="J107" s="162">
        <v>0</v>
      </c>
      <c r="K107" s="162"/>
      <c r="L107" s="380">
        <f>H107</f>
        <v>1914777</v>
      </c>
      <c r="M107" s="381">
        <f t="shared" si="28"/>
        <v>0</v>
      </c>
      <c r="N107" s="380">
        <f>I107</f>
        <v>1914777</v>
      </c>
      <c r="O107" s="162">
        <f t="shared" si="29"/>
        <v>0</v>
      </c>
      <c r="P107" s="162">
        <f t="shared" si="30"/>
        <v>0</v>
      </c>
    </row>
    <row r="108" spans="1:16">
      <c r="B108" s="9" t="str">
        <f t="shared" si="27"/>
        <v/>
      </c>
      <c r="C108" s="157">
        <f>IF(D93="","-",+C107+1)</f>
        <v>2017</v>
      </c>
      <c r="D108" s="366">
        <v>12229427</v>
      </c>
      <c r="E108" s="368">
        <v>317731</v>
      </c>
      <c r="F108" s="371">
        <v>11911696</v>
      </c>
      <c r="G108" s="371">
        <v>12070561.5</v>
      </c>
      <c r="H108" s="368">
        <v>1848912</v>
      </c>
      <c r="I108" s="370">
        <v>1848912</v>
      </c>
      <c r="J108" s="162">
        <f t="shared" si="21"/>
        <v>0</v>
      </c>
      <c r="K108" s="162"/>
      <c r="L108" s="380">
        <f>H108</f>
        <v>1848912</v>
      </c>
      <c r="M108" s="381">
        <f t="shared" si="28"/>
        <v>0</v>
      </c>
      <c r="N108" s="380">
        <f>I108</f>
        <v>1848912</v>
      </c>
      <c r="O108" s="162">
        <f t="shared" si="29"/>
        <v>0</v>
      </c>
      <c r="P108" s="162">
        <f t="shared" si="30"/>
        <v>0</v>
      </c>
    </row>
    <row r="109" spans="1:16">
      <c r="B109" s="9" t="str">
        <f t="shared" si="27"/>
        <v/>
      </c>
      <c r="C109" s="157">
        <f>IF(D93="","-",+C108+1)</f>
        <v>2018</v>
      </c>
      <c r="D109" s="158">
        <f>IF(F108+SUM(E$99:E108)=D$92,F108,D$92-SUM(E$99:E108))</f>
        <v>11911696</v>
      </c>
      <c r="E109" s="165">
        <f>IF(+J96&lt;F108,J96,D109)</f>
        <v>339899</v>
      </c>
      <c r="F109" s="163">
        <f t="shared" ref="F109:F130" si="31">+D109-E109</f>
        <v>11571797</v>
      </c>
      <c r="G109" s="163">
        <f t="shared" si="20"/>
        <v>11741746.5</v>
      </c>
      <c r="H109" s="167">
        <f t="shared" ref="H109:H154" si="32">ROUND(J$94*G109,0)+E109</f>
        <v>1546194</v>
      </c>
      <c r="I109" s="317">
        <f t="shared" ref="I109:I154" si="33">ROUND(J$95*G109,0)+E109</f>
        <v>1546194</v>
      </c>
      <c r="J109" s="162">
        <f t="shared" si="21"/>
        <v>0</v>
      </c>
      <c r="K109" s="162"/>
      <c r="L109" s="335"/>
      <c r="M109" s="162">
        <f t="shared" si="22"/>
        <v>0</v>
      </c>
      <c r="N109" s="335"/>
      <c r="O109" s="162">
        <f t="shared" si="23"/>
        <v>0</v>
      </c>
      <c r="P109" s="162">
        <f t="shared" si="24"/>
        <v>0</v>
      </c>
    </row>
    <row r="110" spans="1:16">
      <c r="B110" s="9" t="str">
        <f t="shared" si="27"/>
        <v/>
      </c>
      <c r="C110" s="157">
        <f>IF(D93="","-",+C109+1)</f>
        <v>2019</v>
      </c>
      <c r="D110" s="158">
        <f>IF(F109+SUM(E$99:E109)=D$92,F109,D$92-SUM(E$99:E109))</f>
        <v>11571797</v>
      </c>
      <c r="E110" s="165">
        <f>IF(+J96&lt;F109,J96,D110)</f>
        <v>339899</v>
      </c>
      <c r="F110" s="163">
        <f t="shared" si="31"/>
        <v>11231898</v>
      </c>
      <c r="G110" s="163">
        <f t="shared" si="20"/>
        <v>11401847.5</v>
      </c>
      <c r="H110" s="167">
        <f t="shared" si="32"/>
        <v>1511274</v>
      </c>
      <c r="I110" s="317">
        <f t="shared" si="33"/>
        <v>1511274</v>
      </c>
      <c r="J110" s="162">
        <f t="shared" si="21"/>
        <v>0</v>
      </c>
      <c r="K110" s="162"/>
      <c r="L110" s="335"/>
      <c r="M110" s="162">
        <f t="shared" si="22"/>
        <v>0</v>
      </c>
      <c r="N110" s="335"/>
      <c r="O110" s="162">
        <f t="shared" si="23"/>
        <v>0</v>
      </c>
      <c r="P110" s="162">
        <f t="shared" si="24"/>
        <v>0</v>
      </c>
    </row>
    <row r="111" spans="1:16">
      <c r="B111" s="9" t="str">
        <f t="shared" si="27"/>
        <v/>
      </c>
      <c r="C111" s="157">
        <f>IF(D93="","-",+C110+1)</f>
        <v>2020</v>
      </c>
      <c r="D111" s="158">
        <f>IF(F110+SUM(E$99:E110)=D$92,F110,D$92-SUM(E$99:E110))</f>
        <v>11231898</v>
      </c>
      <c r="E111" s="165">
        <f>IF(+J96&lt;F110,J96,D111)</f>
        <v>339899</v>
      </c>
      <c r="F111" s="163">
        <f t="shared" si="31"/>
        <v>10891999</v>
      </c>
      <c r="G111" s="163">
        <f t="shared" si="20"/>
        <v>11061948.5</v>
      </c>
      <c r="H111" s="167">
        <f t="shared" si="32"/>
        <v>1476355</v>
      </c>
      <c r="I111" s="317">
        <f t="shared" si="33"/>
        <v>1476355</v>
      </c>
      <c r="J111" s="162">
        <f t="shared" si="21"/>
        <v>0</v>
      </c>
      <c r="K111" s="162"/>
      <c r="L111" s="335"/>
      <c r="M111" s="162">
        <f t="shared" si="22"/>
        <v>0</v>
      </c>
      <c r="N111" s="335"/>
      <c r="O111" s="162">
        <f t="shared" si="23"/>
        <v>0</v>
      </c>
      <c r="P111" s="162">
        <f t="shared" si="24"/>
        <v>0</v>
      </c>
    </row>
    <row r="112" spans="1:16">
      <c r="B112" s="9" t="str">
        <f t="shared" si="27"/>
        <v/>
      </c>
      <c r="C112" s="157">
        <f>IF(D93="","-",+C111+1)</f>
        <v>2021</v>
      </c>
      <c r="D112" s="158">
        <f>IF(F111+SUM(E$99:E111)=D$92,F111,D$92-SUM(E$99:E111))</f>
        <v>10891999</v>
      </c>
      <c r="E112" s="165">
        <f>IF(+J96&lt;F111,J96,D112)</f>
        <v>339899</v>
      </c>
      <c r="F112" s="163">
        <f t="shared" si="31"/>
        <v>10552100</v>
      </c>
      <c r="G112" s="163">
        <f t="shared" si="20"/>
        <v>10722049.5</v>
      </c>
      <c r="H112" s="167">
        <f t="shared" si="32"/>
        <v>1441435</v>
      </c>
      <c r="I112" s="317">
        <f t="shared" si="33"/>
        <v>1441435</v>
      </c>
      <c r="J112" s="162">
        <f t="shared" si="21"/>
        <v>0</v>
      </c>
      <c r="K112" s="162"/>
      <c r="L112" s="335"/>
      <c r="M112" s="162">
        <f t="shared" si="22"/>
        <v>0</v>
      </c>
      <c r="N112" s="335"/>
      <c r="O112" s="162">
        <f t="shared" si="23"/>
        <v>0</v>
      </c>
      <c r="P112" s="162">
        <f t="shared" si="24"/>
        <v>0</v>
      </c>
    </row>
    <row r="113" spans="2:16">
      <c r="B113" s="9" t="str">
        <f t="shared" si="27"/>
        <v/>
      </c>
      <c r="C113" s="157">
        <f>IF(D93="","-",+C112+1)</f>
        <v>2022</v>
      </c>
      <c r="D113" s="158">
        <f>IF(F112+SUM(E$99:E112)=D$92,F112,D$92-SUM(E$99:E112))</f>
        <v>10552100</v>
      </c>
      <c r="E113" s="165">
        <f>IF(+J96&lt;F112,J96,D113)</f>
        <v>339899</v>
      </c>
      <c r="F113" s="163">
        <f t="shared" si="31"/>
        <v>10212201</v>
      </c>
      <c r="G113" s="163">
        <f t="shared" si="20"/>
        <v>10382150.5</v>
      </c>
      <c r="H113" s="167">
        <f t="shared" si="32"/>
        <v>1406515</v>
      </c>
      <c r="I113" s="317">
        <f t="shared" si="33"/>
        <v>1406515</v>
      </c>
      <c r="J113" s="162">
        <f t="shared" si="21"/>
        <v>0</v>
      </c>
      <c r="K113" s="162"/>
      <c r="L113" s="335"/>
      <c r="M113" s="162">
        <f t="shared" si="22"/>
        <v>0</v>
      </c>
      <c r="N113" s="335"/>
      <c r="O113" s="162">
        <f t="shared" si="23"/>
        <v>0</v>
      </c>
      <c r="P113" s="162">
        <f t="shared" si="24"/>
        <v>0</v>
      </c>
    </row>
    <row r="114" spans="2:16">
      <c r="B114" s="9" t="str">
        <f t="shared" si="27"/>
        <v/>
      </c>
      <c r="C114" s="157">
        <f>IF(D93="","-",+C113+1)</f>
        <v>2023</v>
      </c>
      <c r="D114" s="158">
        <f>IF(F113+SUM(E$99:E113)=D$92,F113,D$92-SUM(E$99:E113))</f>
        <v>10212201</v>
      </c>
      <c r="E114" s="165">
        <f>IF(+J96&lt;F113,J96,D114)</f>
        <v>339899</v>
      </c>
      <c r="F114" s="163">
        <f t="shared" si="31"/>
        <v>9872302</v>
      </c>
      <c r="G114" s="163">
        <f t="shared" si="20"/>
        <v>10042251.5</v>
      </c>
      <c r="H114" s="167">
        <f t="shared" si="32"/>
        <v>1371595</v>
      </c>
      <c r="I114" s="317">
        <f t="shared" si="33"/>
        <v>1371595</v>
      </c>
      <c r="J114" s="162">
        <f t="shared" si="21"/>
        <v>0</v>
      </c>
      <c r="K114" s="162"/>
      <c r="L114" s="335"/>
      <c r="M114" s="162">
        <f t="shared" si="22"/>
        <v>0</v>
      </c>
      <c r="N114" s="335"/>
      <c r="O114" s="162">
        <f t="shared" si="23"/>
        <v>0</v>
      </c>
      <c r="P114" s="162">
        <f t="shared" si="24"/>
        <v>0</v>
      </c>
    </row>
    <row r="115" spans="2:16">
      <c r="B115" s="9" t="str">
        <f t="shared" si="27"/>
        <v/>
      </c>
      <c r="C115" s="157">
        <f>IF(D93="","-",+C114+1)</f>
        <v>2024</v>
      </c>
      <c r="D115" s="158">
        <f>IF(F114+SUM(E$99:E114)=D$92,F114,D$92-SUM(E$99:E114))</f>
        <v>9872302</v>
      </c>
      <c r="E115" s="165">
        <f>IF(+J96&lt;F114,J96,D115)</f>
        <v>339899</v>
      </c>
      <c r="F115" s="163">
        <f t="shared" si="31"/>
        <v>9532403</v>
      </c>
      <c r="G115" s="163">
        <f t="shared" si="20"/>
        <v>9702352.5</v>
      </c>
      <c r="H115" s="167">
        <f t="shared" si="32"/>
        <v>1336676</v>
      </c>
      <c r="I115" s="317">
        <f t="shared" si="33"/>
        <v>1336676</v>
      </c>
      <c r="J115" s="162">
        <f t="shared" si="21"/>
        <v>0</v>
      </c>
      <c r="K115" s="162"/>
      <c r="L115" s="335"/>
      <c r="M115" s="162">
        <f t="shared" si="22"/>
        <v>0</v>
      </c>
      <c r="N115" s="335"/>
      <c r="O115" s="162">
        <f t="shared" si="23"/>
        <v>0</v>
      </c>
      <c r="P115" s="162">
        <f t="shared" si="24"/>
        <v>0</v>
      </c>
    </row>
    <row r="116" spans="2:16">
      <c r="B116" s="9" t="str">
        <f t="shared" si="27"/>
        <v/>
      </c>
      <c r="C116" s="157">
        <f>IF(D93="","-",+C115+1)</f>
        <v>2025</v>
      </c>
      <c r="D116" s="158">
        <f>IF(F115+SUM(E$99:E115)=D$92,F115,D$92-SUM(E$99:E115))</f>
        <v>9532403</v>
      </c>
      <c r="E116" s="165">
        <f>IF(+J96&lt;F115,J96,D116)</f>
        <v>339899</v>
      </c>
      <c r="F116" s="163">
        <f t="shared" si="31"/>
        <v>9192504</v>
      </c>
      <c r="G116" s="163">
        <f t="shared" si="20"/>
        <v>9362453.5</v>
      </c>
      <c r="H116" s="167">
        <f t="shared" si="32"/>
        <v>1301756</v>
      </c>
      <c r="I116" s="317">
        <f t="shared" si="33"/>
        <v>1301756</v>
      </c>
      <c r="J116" s="162">
        <f t="shared" si="21"/>
        <v>0</v>
      </c>
      <c r="K116" s="162"/>
      <c r="L116" s="335"/>
      <c r="M116" s="162">
        <f t="shared" si="22"/>
        <v>0</v>
      </c>
      <c r="N116" s="335"/>
      <c r="O116" s="162">
        <f t="shared" si="23"/>
        <v>0</v>
      </c>
      <c r="P116" s="162">
        <f t="shared" si="24"/>
        <v>0</v>
      </c>
    </row>
    <row r="117" spans="2:16">
      <c r="B117" s="9" t="str">
        <f t="shared" si="27"/>
        <v/>
      </c>
      <c r="C117" s="157">
        <f>IF(D93="","-",+C116+1)</f>
        <v>2026</v>
      </c>
      <c r="D117" s="158">
        <f>IF(F116+SUM(E$99:E116)=D$92,F116,D$92-SUM(E$99:E116))</f>
        <v>9192504</v>
      </c>
      <c r="E117" s="165">
        <f>IF(+J96&lt;F116,J96,D117)</f>
        <v>339899</v>
      </c>
      <c r="F117" s="163">
        <f t="shared" si="31"/>
        <v>8852605</v>
      </c>
      <c r="G117" s="163">
        <f t="shared" si="20"/>
        <v>9022554.5</v>
      </c>
      <c r="H117" s="167">
        <f t="shared" si="32"/>
        <v>1266836</v>
      </c>
      <c r="I117" s="317">
        <f t="shared" si="33"/>
        <v>1266836</v>
      </c>
      <c r="J117" s="162">
        <f t="shared" si="21"/>
        <v>0</v>
      </c>
      <c r="K117" s="162"/>
      <c r="L117" s="335"/>
      <c r="M117" s="162">
        <f t="shared" si="22"/>
        <v>0</v>
      </c>
      <c r="N117" s="335"/>
      <c r="O117" s="162">
        <f t="shared" si="23"/>
        <v>0</v>
      </c>
      <c r="P117" s="162">
        <f t="shared" si="24"/>
        <v>0</v>
      </c>
    </row>
    <row r="118" spans="2:16">
      <c r="B118" s="9" t="str">
        <f t="shared" si="27"/>
        <v/>
      </c>
      <c r="C118" s="157">
        <f>IF(D93="","-",+C117+1)</f>
        <v>2027</v>
      </c>
      <c r="D118" s="158">
        <f>IF(F117+SUM(E$99:E117)=D$92,F117,D$92-SUM(E$99:E117))</f>
        <v>8852605</v>
      </c>
      <c r="E118" s="165">
        <f>IF(+J96&lt;F117,J96,D118)</f>
        <v>339899</v>
      </c>
      <c r="F118" s="163">
        <f t="shared" si="31"/>
        <v>8512706</v>
      </c>
      <c r="G118" s="163">
        <f t="shared" si="20"/>
        <v>8682655.5</v>
      </c>
      <c r="H118" s="167">
        <f t="shared" si="32"/>
        <v>1231917</v>
      </c>
      <c r="I118" s="317">
        <f t="shared" si="33"/>
        <v>1231917</v>
      </c>
      <c r="J118" s="162">
        <f t="shared" si="21"/>
        <v>0</v>
      </c>
      <c r="K118" s="162"/>
      <c r="L118" s="335"/>
      <c r="M118" s="162">
        <f t="shared" si="22"/>
        <v>0</v>
      </c>
      <c r="N118" s="335"/>
      <c r="O118" s="162">
        <f t="shared" si="23"/>
        <v>0</v>
      </c>
      <c r="P118" s="162">
        <f t="shared" si="24"/>
        <v>0</v>
      </c>
    </row>
    <row r="119" spans="2:16">
      <c r="B119" s="9" t="str">
        <f t="shared" si="27"/>
        <v/>
      </c>
      <c r="C119" s="157">
        <f>IF(D93="","-",+C118+1)</f>
        <v>2028</v>
      </c>
      <c r="D119" s="158">
        <f>IF(F118+SUM(E$99:E118)=D$92,F118,D$92-SUM(E$99:E118))</f>
        <v>8512706</v>
      </c>
      <c r="E119" s="165">
        <f>IF(+J96&lt;F118,J96,D119)</f>
        <v>339899</v>
      </c>
      <c r="F119" s="163">
        <f t="shared" si="31"/>
        <v>8172807</v>
      </c>
      <c r="G119" s="163">
        <f t="shared" si="20"/>
        <v>8342756.5</v>
      </c>
      <c r="H119" s="167">
        <f t="shared" si="32"/>
        <v>1196997</v>
      </c>
      <c r="I119" s="317">
        <f t="shared" si="33"/>
        <v>1196997</v>
      </c>
      <c r="J119" s="162">
        <f t="shared" si="21"/>
        <v>0</v>
      </c>
      <c r="K119" s="162"/>
      <c r="L119" s="335"/>
      <c r="M119" s="162">
        <f t="shared" si="22"/>
        <v>0</v>
      </c>
      <c r="N119" s="335"/>
      <c r="O119" s="162">
        <f t="shared" si="23"/>
        <v>0</v>
      </c>
      <c r="P119" s="162">
        <f t="shared" si="24"/>
        <v>0</v>
      </c>
    </row>
    <row r="120" spans="2:16">
      <c r="B120" s="9" t="str">
        <f t="shared" si="27"/>
        <v/>
      </c>
      <c r="C120" s="157">
        <f>IF(D93="","-",+C119+1)</f>
        <v>2029</v>
      </c>
      <c r="D120" s="158">
        <f>IF(F119+SUM(E$99:E119)=D$92,F119,D$92-SUM(E$99:E119))</f>
        <v>8172807</v>
      </c>
      <c r="E120" s="165">
        <f>IF(+J96&lt;F119,J96,D120)</f>
        <v>339899</v>
      </c>
      <c r="F120" s="163">
        <f t="shared" si="31"/>
        <v>7832908</v>
      </c>
      <c r="G120" s="163">
        <f t="shared" si="20"/>
        <v>8002857.5</v>
      </c>
      <c r="H120" s="167">
        <f t="shared" si="32"/>
        <v>1162077</v>
      </c>
      <c r="I120" s="317">
        <f t="shared" si="33"/>
        <v>1162077</v>
      </c>
      <c r="J120" s="162">
        <f t="shared" si="21"/>
        <v>0</v>
      </c>
      <c r="K120" s="162"/>
      <c r="L120" s="335"/>
      <c r="M120" s="162">
        <f t="shared" si="22"/>
        <v>0</v>
      </c>
      <c r="N120" s="335"/>
      <c r="O120" s="162">
        <f t="shared" si="23"/>
        <v>0</v>
      </c>
      <c r="P120" s="162">
        <f t="shared" si="24"/>
        <v>0</v>
      </c>
    </row>
    <row r="121" spans="2:16">
      <c r="B121" s="9" t="str">
        <f t="shared" si="27"/>
        <v/>
      </c>
      <c r="C121" s="157">
        <f>IF(D93="","-",+C120+1)</f>
        <v>2030</v>
      </c>
      <c r="D121" s="158">
        <f>IF(F120+SUM(E$99:E120)=D$92,F120,D$92-SUM(E$99:E120))</f>
        <v>7832908</v>
      </c>
      <c r="E121" s="165">
        <f>IF(+J96&lt;F120,J96,D121)</f>
        <v>339899</v>
      </c>
      <c r="F121" s="163">
        <f t="shared" si="31"/>
        <v>7493009</v>
      </c>
      <c r="G121" s="163">
        <f t="shared" si="20"/>
        <v>7662958.5</v>
      </c>
      <c r="H121" s="167">
        <f t="shared" si="32"/>
        <v>1127157</v>
      </c>
      <c r="I121" s="317">
        <f t="shared" si="33"/>
        <v>1127157</v>
      </c>
      <c r="J121" s="162">
        <f t="shared" si="21"/>
        <v>0</v>
      </c>
      <c r="K121" s="162"/>
      <c r="L121" s="335"/>
      <c r="M121" s="162">
        <f t="shared" si="22"/>
        <v>0</v>
      </c>
      <c r="N121" s="335"/>
      <c r="O121" s="162">
        <f t="shared" si="23"/>
        <v>0</v>
      </c>
      <c r="P121" s="162">
        <f t="shared" si="24"/>
        <v>0</v>
      </c>
    </row>
    <row r="122" spans="2:16">
      <c r="B122" s="9" t="str">
        <f t="shared" si="27"/>
        <v/>
      </c>
      <c r="C122" s="157">
        <f>IF(D93="","-",+C121+1)</f>
        <v>2031</v>
      </c>
      <c r="D122" s="158">
        <f>IF(F121+SUM(E$99:E121)=D$92,F121,D$92-SUM(E$99:E121))</f>
        <v>7493009</v>
      </c>
      <c r="E122" s="165">
        <f>IF(+J96&lt;F121,J96,D122)</f>
        <v>339899</v>
      </c>
      <c r="F122" s="163">
        <f t="shared" si="31"/>
        <v>7153110</v>
      </c>
      <c r="G122" s="163">
        <f t="shared" si="20"/>
        <v>7323059.5</v>
      </c>
      <c r="H122" s="167">
        <f t="shared" si="32"/>
        <v>1092238</v>
      </c>
      <c r="I122" s="317">
        <f t="shared" si="33"/>
        <v>1092238</v>
      </c>
      <c r="J122" s="162">
        <f t="shared" si="21"/>
        <v>0</v>
      </c>
      <c r="K122" s="162"/>
      <c r="L122" s="335"/>
      <c r="M122" s="162">
        <f t="shared" si="22"/>
        <v>0</v>
      </c>
      <c r="N122" s="335"/>
      <c r="O122" s="162">
        <f t="shared" si="23"/>
        <v>0</v>
      </c>
      <c r="P122" s="162">
        <f t="shared" si="24"/>
        <v>0</v>
      </c>
    </row>
    <row r="123" spans="2:16">
      <c r="B123" s="9" t="str">
        <f t="shared" si="27"/>
        <v/>
      </c>
      <c r="C123" s="157">
        <f>IF(D93="","-",+C122+1)</f>
        <v>2032</v>
      </c>
      <c r="D123" s="158">
        <f>IF(F122+SUM(E$99:E122)=D$92,F122,D$92-SUM(E$99:E122))</f>
        <v>7153110</v>
      </c>
      <c r="E123" s="165">
        <f>IF(+J96&lt;F122,J96,D123)</f>
        <v>339899</v>
      </c>
      <c r="F123" s="163">
        <f t="shared" si="31"/>
        <v>6813211</v>
      </c>
      <c r="G123" s="163">
        <f t="shared" si="20"/>
        <v>6983160.5</v>
      </c>
      <c r="H123" s="167">
        <f t="shared" si="32"/>
        <v>1057318</v>
      </c>
      <c r="I123" s="317">
        <f t="shared" si="33"/>
        <v>1057318</v>
      </c>
      <c r="J123" s="162">
        <f t="shared" si="21"/>
        <v>0</v>
      </c>
      <c r="K123" s="162"/>
      <c r="L123" s="335"/>
      <c r="M123" s="162">
        <f t="shared" si="22"/>
        <v>0</v>
      </c>
      <c r="N123" s="335"/>
      <c r="O123" s="162">
        <f t="shared" si="23"/>
        <v>0</v>
      </c>
      <c r="P123" s="162">
        <f t="shared" si="24"/>
        <v>0</v>
      </c>
    </row>
    <row r="124" spans="2:16">
      <c r="B124" s="9" t="str">
        <f t="shared" si="27"/>
        <v/>
      </c>
      <c r="C124" s="157">
        <f>IF(D93="","-",+C123+1)</f>
        <v>2033</v>
      </c>
      <c r="D124" s="158">
        <f>IF(F123+SUM(E$99:E123)=D$92,F123,D$92-SUM(E$99:E123))</f>
        <v>6813211</v>
      </c>
      <c r="E124" s="165">
        <f>IF(+J96&lt;F123,J96,D124)</f>
        <v>339899</v>
      </c>
      <c r="F124" s="163">
        <f t="shared" si="31"/>
        <v>6473312</v>
      </c>
      <c r="G124" s="163">
        <f t="shared" si="20"/>
        <v>6643261.5</v>
      </c>
      <c r="H124" s="167">
        <f t="shared" si="32"/>
        <v>1022398</v>
      </c>
      <c r="I124" s="317">
        <f t="shared" si="33"/>
        <v>1022398</v>
      </c>
      <c r="J124" s="162">
        <f t="shared" si="21"/>
        <v>0</v>
      </c>
      <c r="K124" s="162"/>
      <c r="L124" s="335"/>
      <c r="M124" s="162">
        <f t="shared" si="22"/>
        <v>0</v>
      </c>
      <c r="N124" s="335"/>
      <c r="O124" s="162">
        <f t="shared" si="23"/>
        <v>0</v>
      </c>
      <c r="P124" s="162">
        <f t="shared" si="24"/>
        <v>0</v>
      </c>
    </row>
    <row r="125" spans="2:16">
      <c r="B125" s="9" t="str">
        <f t="shared" si="27"/>
        <v/>
      </c>
      <c r="C125" s="157">
        <f>IF(D93="","-",+C124+1)</f>
        <v>2034</v>
      </c>
      <c r="D125" s="158">
        <f>IF(F124+SUM(E$99:E124)=D$92,F124,D$92-SUM(E$99:E124))</f>
        <v>6473312</v>
      </c>
      <c r="E125" s="165">
        <f>IF(+J96&lt;F124,J96,D125)</f>
        <v>339899</v>
      </c>
      <c r="F125" s="163">
        <f t="shared" si="31"/>
        <v>6133413</v>
      </c>
      <c r="G125" s="163">
        <f t="shared" si="20"/>
        <v>6303362.5</v>
      </c>
      <c r="H125" s="167">
        <f t="shared" si="32"/>
        <v>987479</v>
      </c>
      <c r="I125" s="317">
        <f t="shared" si="33"/>
        <v>987479</v>
      </c>
      <c r="J125" s="162">
        <f t="shared" si="21"/>
        <v>0</v>
      </c>
      <c r="K125" s="162"/>
      <c r="L125" s="335"/>
      <c r="M125" s="162">
        <f t="shared" si="22"/>
        <v>0</v>
      </c>
      <c r="N125" s="335"/>
      <c r="O125" s="162">
        <f t="shared" si="23"/>
        <v>0</v>
      </c>
      <c r="P125" s="162">
        <f t="shared" si="24"/>
        <v>0</v>
      </c>
    </row>
    <row r="126" spans="2:16">
      <c r="B126" s="9" t="str">
        <f t="shared" si="27"/>
        <v/>
      </c>
      <c r="C126" s="157">
        <f>IF(D93="","-",+C125+1)</f>
        <v>2035</v>
      </c>
      <c r="D126" s="158">
        <f>IF(F125+SUM(E$99:E125)=D$92,F125,D$92-SUM(E$99:E125))</f>
        <v>6133413</v>
      </c>
      <c r="E126" s="165">
        <f>IF(+J96&lt;F125,J96,D126)</f>
        <v>339899</v>
      </c>
      <c r="F126" s="163">
        <f t="shared" si="31"/>
        <v>5793514</v>
      </c>
      <c r="G126" s="163">
        <f t="shared" si="20"/>
        <v>5963463.5</v>
      </c>
      <c r="H126" s="167">
        <f t="shared" si="32"/>
        <v>952559</v>
      </c>
      <c r="I126" s="317">
        <f t="shared" si="33"/>
        <v>952559</v>
      </c>
      <c r="J126" s="162">
        <f t="shared" si="21"/>
        <v>0</v>
      </c>
      <c r="K126" s="162"/>
      <c r="L126" s="335"/>
      <c r="M126" s="162">
        <f t="shared" si="22"/>
        <v>0</v>
      </c>
      <c r="N126" s="335"/>
      <c r="O126" s="162">
        <f t="shared" si="23"/>
        <v>0</v>
      </c>
      <c r="P126" s="162">
        <f t="shared" si="24"/>
        <v>0</v>
      </c>
    </row>
    <row r="127" spans="2:16">
      <c r="B127" s="9" t="str">
        <f t="shared" si="27"/>
        <v/>
      </c>
      <c r="C127" s="157">
        <f>IF(D93="","-",+C126+1)</f>
        <v>2036</v>
      </c>
      <c r="D127" s="158">
        <f>IF(F126+SUM(E$99:E126)=D$92,F126,D$92-SUM(E$99:E126))</f>
        <v>5793514</v>
      </c>
      <c r="E127" s="165">
        <f>IF(+J96&lt;F126,J96,D127)</f>
        <v>339899</v>
      </c>
      <c r="F127" s="163">
        <f t="shared" si="31"/>
        <v>5453615</v>
      </c>
      <c r="G127" s="163">
        <f t="shared" si="20"/>
        <v>5623564.5</v>
      </c>
      <c r="H127" s="167">
        <f t="shared" si="32"/>
        <v>917639</v>
      </c>
      <c r="I127" s="317">
        <f t="shared" si="33"/>
        <v>917639</v>
      </c>
      <c r="J127" s="162">
        <f t="shared" si="21"/>
        <v>0</v>
      </c>
      <c r="K127" s="162"/>
      <c r="L127" s="335"/>
      <c r="M127" s="162">
        <f t="shared" si="22"/>
        <v>0</v>
      </c>
      <c r="N127" s="335"/>
      <c r="O127" s="162">
        <f t="shared" si="23"/>
        <v>0</v>
      </c>
      <c r="P127" s="162">
        <f t="shared" si="24"/>
        <v>0</v>
      </c>
    </row>
    <row r="128" spans="2:16">
      <c r="B128" s="9" t="str">
        <f t="shared" si="27"/>
        <v/>
      </c>
      <c r="C128" s="157">
        <f>IF(D93="","-",+C127+1)</f>
        <v>2037</v>
      </c>
      <c r="D128" s="158">
        <f>IF(F127+SUM(E$99:E127)=D$92,F127,D$92-SUM(E$99:E127))</f>
        <v>5453615</v>
      </c>
      <c r="E128" s="165">
        <f>IF(+J96&lt;F127,J96,D128)</f>
        <v>339899</v>
      </c>
      <c r="F128" s="163">
        <f t="shared" si="31"/>
        <v>5113716</v>
      </c>
      <c r="G128" s="163">
        <f t="shared" si="20"/>
        <v>5283665.5</v>
      </c>
      <c r="H128" s="167">
        <f t="shared" si="32"/>
        <v>882719</v>
      </c>
      <c r="I128" s="317">
        <f t="shared" si="33"/>
        <v>882719</v>
      </c>
      <c r="J128" s="162">
        <f t="shared" si="21"/>
        <v>0</v>
      </c>
      <c r="K128" s="162"/>
      <c r="L128" s="335"/>
      <c r="M128" s="162">
        <f t="shared" si="22"/>
        <v>0</v>
      </c>
      <c r="N128" s="335"/>
      <c r="O128" s="162">
        <f t="shared" si="23"/>
        <v>0</v>
      </c>
      <c r="P128" s="162">
        <f t="shared" si="24"/>
        <v>0</v>
      </c>
    </row>
    <row r="129" spans="2:16">
      <c r="B129" s="9" t="str">
        <f t="shared" si="27"/>
        <v/>
      </c>
      <c r="C129" s="157">
        <f>IF(D93="","-",+C128+1)</f>
        <v>2038</v>
      </c>
      <c r="D129" s="158">
        <f>IF(F128+SUM(E$99:E128)=D$92,F128,D$92-SUM(E$99:E128))</f>
        <v>5113716</v>
      </c>
      <c r="E129" s="165">
        <f>IF(+J96&lt;F128,J96,D129)</f>
        <v>339899</v>
      </c>
      <c r="F129" s="163">
        <f t="shared" si="31"/>
        <v>4773817</v>
      </c>
      <c r="G129" s="163">
        <f t="shared" si="20"/>
        <v>4943766.5</v>
      </c>
      <c r="H129" s="167">
        <f t="shared" si="32"/>
        <v>847800</v>
      </c>
      <c r="I129" s="317">
        <f t="shared" si="33"/>
        <v>847800</v>
      </c>
      <c r="J129" s="162">
        <f t="shared" si="21"/>
        <v>0</v>
      </c>
      <c r="K129" s="162"/>
      <c r="L129" s="335"/>
      <c r="M129" s="162">
        <f t="shared" si="22"/>
        <v>0</v>
      </c>
      <c r="N129" s="335"/>
      <c r="O129" s="162">
        <f t="shared" si="23"/>
        <v>0</v>
      </c>
      <c r="P129" s="162">
        <f t="shared" si="24"/>
        <v>0</v>
      </c>
    </row>
    <row r="130" spans="2:16">
      <c r="B130" s="9" t="str">
        <f t="shared" si="27"/>
        <v/>
      </c>
      <c r="C130" s="157">
        <f>IF(D93="","-",+C129+1)</f>
        <v>2039</v>
      </c>
      <c r="D130" s="158">
        <f>IF(F129+SUM(E$99:E129)=D$92,F129,D$92-SUM(E$99:E129))</f>
        <v>4773817</v>
      </c>
      <c r="E130" s="165">
        <f>IF(+J96&lt;F129,J96,D130)</f>
        <v>339899</v>
      </c>
      <c r="F130" s="163">
        <f t="shared" si="31"/>
        <v>4433918</v>
      </c>
      <c r="G130" s="163">
        <f t="shared" si="20"/>
        <v>4603867.5</v>
      </c>
      <c r="H130" s="167">
        <f t="shared" si="32"/>
        <v>812880</v>
      </c>
      <c r="I130" s="317">
        <f t="shared" si="33"/>
        <v>812880</v>
      </c>
      <c r="J130" s="162">
        <f t="shared" si="21"/>
        <v>0</v>
      </c>
      <c r="K130" s="162"/>
      <c r="L130" s="335"/>
      <c r="M130" s="162">
        <f t="shared" si="22"/>
        <v>0</v>
      </c>
      <c r="N130" s="335"/>
      <c r="O130" s="162">
        <f t="shared" si="23"/>
        <v>0</v>
      </c>
      <c r="P130" s="162">
        <f t="shared" si="24"/>
        <v>0</v>
      </c>
    </row>
    <row r="131" spans="2:16">
      <c r="B131" s="9" t="str">
        <f t="shared" si="27"/>
        <v/>
      </c>
      <c r="C131" s="157">
        <f>IF(D93="","-",+C130+1)</f>
        <v>2040</v>
      </c>
      <c r="D131" s="158">
        <f>IF(F130+SUM(E$99:E130)=D$92,F130,D$92-SUM(E$99:E130))</f>
        <v>4433918</v>
      </c>
      <c r="E131" s="165">
        <f>IF(+J96&lt;F130,J96,D131)</f>
        <v>339899</v>
      </c>
      <c r="F131" s="163">
        <f t="shared" ref="F131:F154" si="34">+D131-E131</f>
        <v>4094019</v>
      </c>
      <c r="G131" s="163">
        <f t="shared" ref="G131:G154" si="35">+(F131+D131)/2</f>
        <v>4263968.5</v>
      </c>
      <c r="H131" s="167">
        <f t="shared" si="32"/>
        <v>777960</v>
      </c>
      <c r="I131" s="317">
        <f t="shared" si="33"/>
        <v>777960</v>
      </c>
      <c r="J131" s="162">
        <f t="shared" si="21"/>
        <v>0</v>
      </c>
      <c r="K131" s="162"/>
      <c r="L131" s="335"/>
      <c r="M131" s="162">
        <f t="shared" ref="M131:M154" si="36">IF(L131&lt;&gt;0,+H131-L131,0)</f>
        <v>0</v>
      </c>
      <c r="N131" s="335"/>
      <c r="O131" s="162">
        <f t="shared" ref="O131:O154" si="37">IF(N131&lt;&gt;0,+I131-N131,0)</f>
        <v>0</v>
      </c>
      <c r="P131" s="162">
        <f t="shared" ref="P131:P154" si="38">+O131-M131</f>
        <v>0</v>
      </c>
    </row>
    <row r="132" spans="2:16">
      <c r="B132" s="9" t="str">
        <f t="shared" si="27"/>
        <v/>
      </c>
      <c r="C132" s="157">
        <f>IF(D93="","-",+C131+1)</f>
        <v>2041</v>
      </c>
      <c r="D132" s="158">
        <f>IF(F131+SUM(E$99:E131)=D$92,F131,D$92-SUM(E$99:E131))</f>
        <v>4094019</v>
      </c>
      <c r="E132" s="165">
        <f>IF(+J96&lt;F131,J96,D132)</f>
        <v>339899</v>
      </c>
      <c r="F132" s="163">
        <f t="shared" si="34"/>
        <v>3754120</v>
      </c>
      <c r="G132" s="163">
        <f t="shared" si="35"/>
        <v>3924069.5</v>
      </c>
      <c r="H132" s="167">
        <f t="shared" si="32"/>
        <v>743041</v>
      </c>
      <c r="I132" s="317">
        <f t="shared" si="33"/>
        <v>743041</v>
      </c>
      <c r="J132" s="162">
        <f t="shared" ref="J132:J154" si="39">+I132-H132</f>
        <v>0</v>
      </c>
      <c r="K132" s="162"/>
      <c r="L132" s="335"/>
      <c r="M132" s="162">
        <f t="shared" si="36"/>
        <v>0</v>
      </c>
      <c r="N132" s="335"/>
      <c r="O132" s="162">
        <f t="shared" si="37"/>
        <v>0</v>
      </c>
      <c r="P132" s="162">
        <f t="shared" si="38"/>
        <v>0</v>
      </c>
    </row>
    <row r="133" spans="2:16">
      <c r="B133" s="9" t="str">
        <f t="shared" si="27"/>
        <v/>
      </c>
      <c r="C133" s="157">
        <f>IF(D93="","-",+C132+1)</f>
        <v>2042</v>
      </c>
      <c r="D133" s="158">
        <f>IF(F132+SUM(E$99:E132)=D$92,F132,D$92-SUM(E$99:E132))</f>
        <v>3754120</v>
      </c>
      <c r="E133" s="165">
        <f>IF(+J96&lt;F132,J96,D133)</f>
        <v>339899</v>
      </c>
      <c r="F133" s="163">
        <f t="shared" si="34"/>
        <v>3414221</v>
      </c>
      <c r="G133" s="163">
        <f t="shared" si="35"/>
        <v>3584170.5</v>
      </c>
      <c r="H133" s="167">
        <f t="shared" si="32"/>
        <v>708121</v>
      </c>
      <c r="I133" s="317">
        <f t="shared" si="33"/>
        <v>708121</v>
      </c>
      <c r="J133" s="162">
        <f t="shared" si="39"/>
        <v>0</v>
      </c>
      <c r="K133" s="162"/>
      <c r="L133" s="335"/>
      <c r="M133" s="162">
        <f t="shared" si="36"/>
        <v>0</v>
      </c>
      <c r="N133" s="335"/>
      <c r="O133" s="162">
        <f t="shared" si="37"/>
        <v>0</v>
      </c>
      <c r="P133" s="162">
        <f t="shared" si="38"/>
        <v>0</v>
      </c>
    </row>
    <row r="134" spans="2:16">
      <c r="B134" s="9" t="str">
        <f t="shared" si="27"/>
        <v/>
      </c>
      <c r="C134" s="157">
        <f>IF(D93="","-",+C133+1)</f>
        <v>2043</v>
      </c>
      <c r="D134" s="158">
        <f>IF(F133+SUM(E$99:E133)=D$92,F133,D$92-SUM(E$99:E133))</f>
        <v>3414221</v>
      </c>
      <c r="E134" s="165">
        <f>IF(+J96&lt;F133,J96,D134)</f>
        <v>339899</v>
      </c>
      <c r="F134" s="163">
        <f t="shared" si="34"/>
        <v>3074322</v>
      </c>
      <c r="G134" s="163">
        <f t="shared" si="35"/>
        <v>3244271.5</v>
      </c>
      <c r="H134" s="167">
        <f t="shared" si="32"/>
        <v>673201</v>
      </c>
      <c r="I134" s="317">
        <f t="shared" si="33"/>
        <v>673201</v>
      </c>
      <c r="J134" s="162">
        <f t="shared" si="39"/>
        <v>0</v>
      </c>
      <c r="K134" s="162"/>
      <c r="L134" s="335"/>
      <c r="M134" s="162">
        <f t="shared" si="36"/>
        <v>0</v>
      </c>
      <c r="N134" s="335"/>
      <c r="O134" s="162">
        <f t="shared" si="37"/>
        <v>0</v>
      </c>
      <c r="P134" s="162">
        <f t="shared" si="38"/>
        <v>0</v>
      </c>
    </row>
    <row r="135" spans="2:16">
      <c r="B135" s="9" t="str">
        <f t="shared" si="27"/>
        <v/>
      </c>
      <c r="C135" s="157">
        <f>IF(D93="","-",+C134+1)</f>
        <v>2044</v>
      </c>
      <c r="D135" s="158">
        <f>IF(F134+SUM(E$99:E134)=D$92,F134,D$92-SUM(E$99:E134))</f>
        <v>3074322</v>
      </c>
      <c r="E135" s="165">
        <f>IF(+J96&lt;F134,J96,D135)</f>
        <v>339899</v>
      </c>
      <c r="F135" s="163">
        <f t="shared" si="34"/>
        <v>2734423</v>
      </c>
      <c r="G135" s="163">
        <f t="shared" si="35"/>
        <v>2904372.5</v>
      </c>
      <c r="H135" s="167">
        <f t="shared" si="32"/>
        <v>638281</v>
      </c>
      <c r="I135" s="317">
        <f t="shared" si="33"/>
        <v>638281</v>
      </c>
      <c r="J135" s="162">
        <f t="shared" si="39"/>
        <v>0</v>
      </c>
      <c r="K135" s="162"/>
      <c r="L135" s="335"/>
      <c r="M135" s="162">
        <f t="shared" si="36"/>
        <v>0</v>
      </c>
      <c r="N135" s="335"/>
      <c r="O135" s="162">
        <f t="shared" si="37"/>
        <v>0</v>
      </c>
      <c r="P135" s="162">
        <f t="shared" si="38"/>
        <v>0</v>
      </c>
    </row>
    <row r="136" spans="2:16">
      <c r="B136" s="9" t="str">
        <f t="shared" si="27"/>
        <v/>
      </c>
      <c r="C136" s="157">
        <f>IF(D93="","-",+C135+1)</f>
        <v>2045</v>
      </c>
      <c r="D136" s="158">
        <f>IF(F135+SUM(E$99:E135)=D$92,F135,D$92-SUM(E$99:E135))</f>
        <v>2734423</v>
      </c>
      <c r="E136" s="165">
        <f>IF(+J96&lt;F135,J96,D136)</f>
        <v>339899</v>
      </c>
      <c r="F136" s="163">
        <f t="shared" si="34"/>
        <v>2394524</v>
      </c>
      <c r="G136" s="163">
        <f t="shared" si="35"/>
        <v>2564473.5</v>
      </c>
      <c r="H136" s="167">
        <f t="shared" si="32"/>
        <v>603362</v>
      </c>
      <c r="I136" s="317">
        <f t="shared" si="33"/>
        <v>603362</v>
      </c>
      <c r="J136" s="162">
        <f t="shared" si="39"/>
        <v>0</v>
      </c>
      <c r="K136" s="162"/>
      <c r="L136" s="335"/>
      <c r="M136" s="162">
        <f t="shared" si="36"/>
        <v>0</v>
      </c>
      <c r="N136" s="335"/>
      <c r="O136" s="162">
        <f t="shared" si="37"/>
        <v>0</v>
      </c>
      <c r="P136" s="162">
        <f t="shared" si="38"/>
        <v>0</v>
      </c>
    </row>
    <row r="137" spans="2:16">
      <c r="B137" s="9" t="str">
        <f t="shared" si="27"/>
        <v/>
      </c>
      <c r="C137" s="157">
        <f>IF(D93="","-",+C136+1)</f>
        <v>2046</v>
      </c>
      <c r="D137" s="158">
        <f>IF(F136+SUM(E$99:E136)=D$92,F136,D$92-SUM(E$99:E136))</f>
        <v>2394524</v>
      </c>
      <c r="E137" s="165">
        <f>IF(+J96&lt;F136,J96,D137)</f>
        <v>339899</v>
      </c>
      <c r="F137" s="163">
        <f t="shared" si="34"/>
        <v>2054625</v>
      </c>
      <c r="G137" s="163">
        <f t="shared" si="35"/>
        <v>2224574.5</v>
      </c>
      <c r="H137" s="167">
        <f t="shared" si="32"/>
        <v>568442</v>
      </c>
      <c r="I137" s="317">
        <f t="shared" si="33"/>
        <v>568442</v>
      </c>
      <c r="J137" s="162">
        <f t="shared" si="39"/>
        <v>0</v>
      </c>
      <c r="K137" s="162"/>
      <c r="L137" s="335"/>
      <c r="M137" s="162">
        <f t="shared" si="36"/>
        <v>0</v>
      </c>
      <c r="N137" s="335"/>
      <c r="O137" s="162">
        <f t="shared" si="37"/>
        <v>0</v>
      </c>
      <c r="P137" s="162">
        <f t="shared" si="38"/>
        <v>0</v>
      </c>
    </row>
    <row r="138" spans="2:16">
      <c r="B138" s="9" t="str">
        <f t="shared" si="27"/>
        <v/>
      </c>
      <c r="C138" s="157">
        <f>IF(D93="","-",+C137+1)</f>
        <v>2047</v>
      </c>
      <c r="D138" s="158">
        <f>IF(F137+SUM(E$99:E137)=D$92,F137,D$92-SUM(E$99:E137))</f>
        <v>2054625</v>
      </c>
      <c r="E138" s="165">
        <f>IF(+J96&lt;F137,J96,D138)</f>
        <v>339899</v>
      </c>
      <c r="F138" s="163">
        <f t="shared" si="34"/>
        <v>1714726</v>
      </c>
      <c r="G138" s="163">
        <f t="shared" si="35"/>
        <v>1884675.5</v>
      </c>
      <c r="H138" s="167">
        <f t="shared" si="32"/>
        <v>533522</v>
      </c>
      <c r="I138" s="317">
        <f t="shared" si="33"/>
        <v>533522</v>
      </c>
      <c r="J138" s="162">
        <f t="shared" si="39"/>
        <v>0</v>
      </c>
      <c r="K138" s="162"/>
      <c r="L138" s="335"/>
      <c r="M138" s="162">
        <f t="shared" si="36"/>
        <v>0</v>
      </c>
      <c r="N138" s="335"/>
      <c r="O138" s="162">
        <f t="shared" si="37"/>
        <v>0</v>
      </c>
      <c r="P138" s="162">
        <f t="shared" si="38"/>
        <v>0</v>
      </c>
    </row>
    <row r="139" spans="2:16">
      <c r="B139" s="9" t="str">
        <f t="shared" si="27"/>
        <v/>
      </c>
      <c r="C139" s="157">
        <f>IF(D93="","-",+C138+1)</f>
        <v>2048</v>
      </c>
      <c r="D139" s="158">
        <f>IF(F138+SUM(E$99:E138)=D$92,F138,D$92-SUM(E$99:E138))</f>
        <v>1714726</v>
      </c>
      <c r="E139" s="165">
        <f>IF(+J96&lt;F138,J96,D139)</f>
        <v>339899</v>
      </c>
      <c r="F139" s="163">
        <f t="shared" si="34"/>
        <v>1374827</v>
      </c>
      <c r="G139" s="163">
        <f t="shared" si="35"/>
        <v>1544776.5</v>
      </c>
      <c r="H139" s="167">
        <f t="shared" si="32"/>
        <v>498602</v>
      </c>
      <c r="I139" s="317">
        <f t="shared" si="33"/>
        <v>498602</v>
      </c>
      <c r="J139" s="162">
        <f t="shared" si="39"/>
        <v>0</v>
      </c>
      <c r="K139" s="162"/>
      <c r="L139" s="335"/>
      <c r="M139" s="162">
        <f t="shared" si="36"/>
        <v>0</v>
      </c>
      <c r="N139" s="335"/>
      <c r="O139" s="162">
        <f t="shared" si="37"/>
        <v>0</v>
      </c>
      <c r="P139" s="162">
        <f t="shared" si="38"/>
        <v>0</v>
      </c>
    </row>
    <row r="140" spans="2:16">
      <c r="B140" s="9" t="str">
        <f t="shared" si="27"/>
        <v/>
      </c>
      <c r="C140" s="157">
        <f>IF(D93="","-",+C139+1)</f>
        <v>2049</v>
      </c>
      <c r="D140" s="158">
        <f>IF(F139+SUM(E$99:E139)=D$92,F139,D$92-SUM(E$99:E139))</f>
        <v>1374827</v>
      </c>
      <c r="E140" s="165">
        <f>IF(+J96&lt;F139,J96,D140)</f>
        <v>339899</v>
      </c>
      <c r="F140" s="163">
        <f t="shared" si="34"/>
        <v>1034928</v>
      </c>
      <c r="G140" s="163">
        <f t="shared" si="35"/>
        <v>1204877.5</v>
      </c>
      <c r="H140" s="167">
        <f t="shared" si="32"/>
        <v>463683</v>
      </c>
      <c r="I140" s="317">
        <f t="shared" si="33"/>
        <v>463683</v>
      </c>
      <c r="J140" s="162">
        <f t="shared" si="39"/>
        <v>0</v>
      </c>
      <c r="K140" s="162"/>
      <c r="L140" s="335"/>
      <c r="M140" s="162">
        <f t="shared" si="36"/>
        <v>0</v>
      </c>
      <c r="N140" s="335"/>
      <c r="O140" s="162">
        <f t="shared" si="37"/>
        <v>0</v>
      </c>
      <c r="P140" s="162">
        <f t="shared" si="38"/>
        <v>0</v>
      </c>
    </row>
    <row r="141" spans="2:16">
      <c r="B141" s="9" t="str">
        <f t="shared" si="27"/>
        <v/>
      </c>
      <c r="C141" s="157">
        <f>IF(D93="","-",+C140+1)</f>
        <v>2050</v>
      </c>
      <c r="D141" s="158">
        <f>IF(F140+SUM(E$99:E140)=D$92,F140,D$92-SUM(E$99:E140))</f>
        <v>1034928</v>
      </c>
      <c r="E141" s="165">
        <f>IF(+J96&lt;F140,J96,D141)</f>
        <v>339899</v>
      </c>
      <c r="F141" s="163">
        <f t="shared" si="34"/>
        <v>695029</v>
      </c>
      <c r="G141" s="163">
        <f t="shared" si="35"/>
        <v>864978.5</v>
      </c>
      <c r="H141" s="167">
        <f t="shared" si="32"/>
        <v>428763</v>
      </c>
      <c r="I141" s="317">
        <f t="shared" si="33"/>
        <v>428763</v>
      </c>
      <c r="J141" s="162">
        <f t="shared" si="39"/>
        <v>0</v>
      </c>
      <c r="K141" s="162"/>
      <c r="L141" s="335"/>
      <c r="M141" s="162">
        <f t="shared" si="36"/>
        <v>0</v>
      </c>
      <c r="N141" s="335"/>
      <c r="O141" s="162">
        <f t="shared" si="37"/>
        <v>0</v>
      </c>
      <c r="P141" s="162">
        <f t="shared" si="38"/>
        <v>0</v>
      </c>
    </row>
    <row r="142" spans="2:16">
      <c r="B142" s="9" t="str">
        <f t="shared" si="27"/>
        <v/>
      </c>
      <c r="C142" s="157">
        <f>IF(D93="","-",+C141+1)</f>
        <v>2051</v>
      </c>
      <c r="D142" s="158">
        <f>IF(F141+SUM(E$99:E141)=D$92,F141,D$92-SUM(E$99:E141))</f>
        <v>695029</v>
      </c>
      <c r="E142" s="165">
        <f>IF(+J96&lt;F141,J96,D142)</f>
        <v>339899</v>
      </c>
      <c r="F142" s="163">
        <f t="shared" si="34"/>
        <v>355130</v>
      </c>
      <c r="G142" s="163">
        <f t="shared" si="35"/>
        <v>525079.5</v>
      </c>
      <c r="H142" s="167">
        <f t="shared" si="32"/>
        <v>393843</v>
      </c>
      <c r="I142" s="317">
        <f t="shared" si="33"/>
        <v>393843</v>
      </c>
      <c r="J142" s="162">
        <f t="shared" si="39"/>
        <v>0</v>
      </c>
      <c r="K142" s="162"/>
      <c r="L142" s="335"/>
      <c r="M142" s="162">
        <f t="shared" si="36"/>
        <v>0</v>
      </c>
      <c r="N142" s="335"/>
      <c r="O142" s="162">
        <f t="shared" si="37"/>
        <v>0</v>
      </c>
      <c r="P142" s="162">
        <f t="shared" si="38"/>
        <v>0</v>
      </c>
    </row>
    <row r="143" spans="2:16">
      <c r="B143" s="9" t="str">
        <f t="shared" si="27"/>
        <v/>
      </c>
      <c r="C143" s="157">
        <f>IF(D93="","-",+C142+1)</f>
        <v>2052</v>
      </c>
      <c r="D143" s="158">
        <f>IF(F142+SUM(E$99:E142)=D$92,F142,D$92-SUM(E$99:E142))</f>
        <v>355130</v>
      </c>
      <c r="E143" s="165">
        <f>IF(+J96&lt;F142,J96,D143)</f>
        <v>339899</v>
      </c>
      <c r="F143" s="163">
        <f t="shared" si="34"/>
        <v>15231</v>
      </c>
      <c r="G143" s="163">
        <f t="shared" si="35"/>
        <v>185180.5</v>
      </c>
      <c r="H143" s="167">
        <f t="shared" si="32"/>
        <v>358924</v>
      </c>
      <c r="I143" s="317">
        <f t="shared" si="33"/>
        <v>358924</v>
      </c>
      <c r="J143" s="162">
        <f t="shared" si="39"/>
        <v>0</v>
      </c>
      <c r="K143" s="162"/>
      <c r="L143" s="335"/>
      <c r="M143" s="162">
        <f t="shared" si="36"/>
        <v>0</v>
      </c>
      <c r="N143" s="335"/>
      <c r="O143" s="162">
        <f t="shared" si="37"/>
        <v>0</v>
      </c>
      <c r="P143" s="162">
        <f t="shared" si="38"/>
        <v>0</v>
      </c>
    </row>
    <row r="144" spans="2:16">
      <c r="B144" s="9" t="str">
        <f t="shared" si="27"/>
        <v/>
      </c>
      <c r="C144" s="157">
        <f>IF(D93="","-",+C143+1)</f>
        <v>2053</v>
      </c>
      <c r="D144" s="158">
        <f>IF(F143+SUM(E$99:E143)=D$92,F143,D$92-SUM(E$99:E143))</f>
        <v>15231</v>
      </c>
      <c r="E144" s="165">
        <f>IF(+J96&lt;F143,J96,D144)</f>
        <v>15231</v>
      </c>
      <c r="F144" s="163">
        <f t="shared" si="34"/>
        <v>0</v>
      </c>
      <c r="G144" s="163">
        <f t="shared" si="35"/>
        <v>7615.5</v>
      </c>
      <c r="H144" s="167">
        <f t="shared" si="32"/>
        <v>16013</v>
      </c>
      <c r="I144" s="317">
        <f t="shared" si="33"/>
        <v>16013</v>
      </c>
      <c r="J144" s="162">
        <f t="shared" si="39"/>
        <v>0</v>
      </c>
      <c r="K144" s="162"/>
      <c r="L144" s="335"/>
      <c r="M144" s="162">
        <f t="shared" si="36"/>
        <v>0</v>
      </c>
      <c r="N144" s="335"/>
      <c r="O144" s="162">
        <f t="shared" si="37"/>
        <v>0</v>
      </c>
      <c r="P144" s="162">
        <f t="shared" si="38"/>
        <v>0</v>
      </c>
    </row>
    <row r="145" spans="2:16">
      <c r="B145" s="9" t="str">
        <f t="shared" si="27"/>
        <v/>
      </c>
      <c r="C145" s="157">
        <f>IF(D93="","-",+C144+1)</f>
        <v>2054</v>
      </c>
      <c r="D145" s="158">
        <f>IF(F144+SUM(E$99:E144)=D$92,F144,D$92-SUM(E$99:E144))</f>
        <v>0</v>
      </c>
      <c r="E145" s="165">
        <f>IF(+J96&lt;F144,J96,D145)</f>
        <v>0</v>
      </c>
      <c r="F145" s="163">
        <f t="shared" si="34"/>
        <v>0</v>
      </c>
      <c r="G145" s="163">
        <f t="shared" si="35"/>
        <v>0</v>
      </c>
      <c r="H145" s="167">
        <f t="shared" si="32"/>
        <v>0</v>
      </c>
      <c r="I145" s="317">
        <f t="shared" si="33"/>
        <v>0</v>
      </c>
      <c r="J145" s="162">
        <f t="shared" si="39"/>
        <v>0</v>
      </c>
      <c r="K145" s="162"/>
      <c r="L145" s="335"/>
      <c r="M145" s="162">
        <f t="shared" si="36"/>
        <v>0</v>
      </c>
      <c r="N145" s="335"/>
      <c r="O145" s="162">
        <f t="shared" si="37"/>
        <v>0</v>
      </c>
      <c r="P145" s="162">
        <f t="shared" si="38"/>
        <v>0</v>
      </c>
    </row>
    <row r="146" spans="2:16">
      <c r="B146" s="9" t="str">
        <f t="shared" si="27"/>
        <v/>
      </c>
      <c r="C146" s="157">
        <f>IF(D93="","-",+C145+1)</f>
        <v>2055</v>
      </c>
      <c r="D146" s="158">
        <f>IF(F145+SUM(E$99:E145)=D$92,F145,D$92-SUM(E$99:E145))</f>
        <v>0</v>
      </c>
      <c r="E146" s="165">
        <f>IF(+J96&lt;F145,J96,D146)</f>
        <v>0</v>
      </c>
      <c r="F146" s="163">
        <f t="shared" si="34"/>
        <v>0</v>
      </c>
      <c r="G146" s="163">
        <f t="shared" si="35"/>
        <v>0</v>
      </c>
      <c r="H146" s="167">
        <f t="shared" si="32"/>
        <v>0</v>
      </c>
      <c r="I146" s="317">
        <f t="shared" si="33"/>
        <v>0</v>
      </c>
      <c r="J146" s="162">
        <f t="shared" si="39"/>
        <v>0</v>
      </c>
      <c r="K146" s="162"/>
      <c r="L146" s="335"/>
      <c r="M146" s="162">
        <f t="shared" si="36"/>
        <v>0</v>
      </c>
      <c r="N146" s="335"/>
      <c r="O146" s="162">
        <f t="shared" si="37"/>
        <v>0</v>
      </c>
      <c r="P146" s="162">
        <f t="shared" si="38"/>
        <v>0</v>
      </c>
    </row>
    <row r="147" spans="2:16">
      <c r="B147" s="9" t="str">
        <f t="shared" si="27"/>
        <v/>
      </c>
      <c r="C147" s="157">
        <f>IF(D93="","-",+C146+1)</f>
        <v>2056</v>
      </c>
      <c r="D147" s="158">
        <f>IF(F146+SUM(E$99:E146)=D$92,F146,D$92-SUM(E$99:E146))</f>
        <v>0</v>
      </c>
      <c r="E147" s="165">
        <f>IF(+J96&lt;F146,J96,D147)</f>
        <v>0</v>
      </c>
      <c r="F147" s="163">
        <f t="shared" si="34"/>
        <v>0</v>
      </c>
      <c r="G147" s="163">
        <f t="shared" si="35"/>
        <v>0</v>
      </c>
      <c r="H147" s="167">
        <f t="shared" si="32"/>
        <v>0</v>
      </c>
      <c r="I147" s="317">
        <f t="shared" si="33"/>
        <v>0</v>
      </c>
      <c r="J147" s="162">
        <f t="shared" si="39"/>
        <v>0</v>
      </c>
      <c r="K147" s="162"/>
      <c r="L147" s="335"/>
      <c r="M147" s="162">
        <f t="shared" si="36"/>
        <v>0</v>
      </c>
      <c r="N147" s="335"/>
      <c r="O147" s="162">
        <f t="shared" si="37"/>
        <v>0</v>
      </c>
      <c r="P147" s="162">
        <f t="shared" si="38"/>
        <v>0</v>
      </c>
    </row>
    <row r="148" spans="2:16">
      <c r="B148" s="9" t="str">
        <f t="shared" si="27"/>
        <v/>
      </c>
      <c r="C148" s="157">
        <f>IF(D93="","-",+C147+1)</f>
        <v>2057</v>
      </c>
      <c r="D148" s="158">
        <f>IF(F147+SUM(E$99:E147)=D$92,F147,D$92-SUM(E$99:E147))</f>
        <v>0</v>
      </c>
      <c r="E148" s="165">
        <f>IF(+J96&lt;F147,J96,D148)</f>
        <v>0</v>
      </c>
      <c r="F148" s="163">
        <f t="shared" si="34"/>
        <v>0</v>
      </c>
      <c r="G148" s="163">
        <f t="shared" si="35"/>
        <v>0</v>
      </c>
      <c r="H148" s="167">
        <f t="shared" si="32"/>
        <v>0</v>
      </c>
      <c r="I148" s="317">
        <f t="shared" si="33"/>
        <v>0</v>
      </c>
      <c r="J148" s="162">
        <f t="shared" si="39"/>
        <v>0</v>
      </c>
      <c r="K148" s="162"/>
      <c r="L148" s="335"/>
      <c r="M148" s="162">
        <f t="shared" si="36"/>
        <v>0</v>
      </c>
      <c r="N148" s="335"/>
      <c r="O148" s="162">
        <f t="shared" si="37"/>
        <v>0</v>
      </c>
      <c r="P148" s="162">
        <f t="shared" si="38"/>
        <v>0</v>
      </c>
    </row>
    <row r="149" spans="2:16">
      <c r="B149" s="9" t="str">
        <f t="shared" si="27"/>
        <v/>
      </c>
      <c r="C149" s="157">
        <f>IF(D93="","-",+C148+1)</f>
        <v>2058</v>
      </c>
      <c r="D149" s="158">
        <f>IF(F148+SUM(E$99:E148)=D$92,F148,D$92-SUM(E$99:E148))</f>
        <v>0</v>
      </c>
      <c r="E149" s="165">
        <f>IF(+J96&lt;F148,J96,D149)</f>
        <v>0</v>
      </c>
      <c r="F149" s="163">
        <f t="shared" si="34"/>
        <v>0</v>
      </c>
      <c r="G149" s="163">
        <f t="shared" si="35"/>
        <v>0</v>
      </c>
      <c r="H149" s="167">
        <f t="shared" si="32"/>
        <v>0</v>
      </c>
      <c r="I149" s="317">
        <f t="shared" si="33"/>
        <v>0</v>
      </c>
      <c r="J149" s="162">
        <f t="shared" si="39"/>
        <v>0</v>
      </c>
      <c r="K149" s="162"/>
      <c r="L149" s="335"/>
      <c r="M149" s="162">
        <f t="shared" si="36"/>
        <v>0</v>
      </c>
      <c r="N149" s="335"/>
      <c r="O149" s="162">
        <f t="shared" si="37"/>
        <v>0</v>
      </c>
      <c r="P149" s="162">
        <f t="shared" si="38"/>
        <v>0</v>
      </c>
    </row>
    <row r="150" spans="2:16">
      <c r="B150" s="9" t="str">
        <f t="shared" si="27"/>
        <v/>
      </c>
      <c r="C150" s="157">
        <f>IF(D93="","-",+C149+1)</f>
        <v>2059</v>
      </c>
      <c r="D150" s="158">
        <f>IF(F149+SUM(E$99:E149)=D$92,F149,D$92-SUM(E$99:E149))</f>
        <v>0</v>
      </c>
      <c r="E150" s="165">
        <f>IF(+J96&lt;F149,J96,D150)</f>
        <v>0</v>
      </c>
      <c r="F150" s="163">
        <f t="shared" si="34"/>
        <v>0</v>
      </c>
      <c r="G150" s="163">
        <f t="shared" si="35"/>
        <v>0</v>
      </c>
      <c r="H150" s="167">
        <f t="shared" si="32"/>
        <v>0</v>
      </c>
      <c r="I150" s="317">
        <f t="shared" si="33"/>
        <v>0</v>
      </c>
      <c r="J150" s="162">
        <f t="shared" si="39"/>
        <v>0</v>
      </c>
      <c r="K150" s="162"/>
      <c r="L150" s="335"/>
      <c r="M150" s="162">
        <f t="shared" si="36"/>
        <v>0</v>
      </c>
      <c r="N150" s="335"/>
      <c r="O150" s="162">
        <f t="shared" si="37"/>
        <v>0</v>
      </c>
      <c r="P150" s="162">
        <f t="shared" si="38"/>
        <v>0</v>
      </c>
    </row>
    <row r="151" spans="2:16">
      <c r="B151" s="9" t="str">
        <f t="shared" si="27"/>
        <v/>
      </c>
      <c r="C151" s="157">
        <f>IF(D93="","-",+C150+1)</f>
        <v>2060</v>
      </c>
      <c r="D151" s="158">
        <f>IF(F150+SUM(E$99:E150)=D$92,F150,D$92-SUM(E$99:E150))</f>
        <v>0</v>
      </c>
      <c r="E151" s="165">
        <f>IF(+J96&lt;F150,J96,D151)</f>
        <v>0</v>
      </c>
      <c r="F151" s="163">
        <f t="shared" si="34"/>
        <v>0</v>
      </c>
      <c r="G151" s="163">
        <f t="shared" si="35"/>
        <v>0</v>
      </c>
      <c r="H151" s="167">
        <f t="shared" si="32"/>
        <v>0</v>
      </c>
      <c r="I151" s="317">
        <f t="shared" si="33"/>
        <v>0</v>
      </c>
      <c r="J151" s="162">
        <f t="shared" si="39"/>
        <v>0</v>
      </c>
      <c r="K151" s="162"/>
      <c r="L151" s="335"/>
      <c r="M151" s="162">
        <f t="shared" si="36"/>
        <v>0</v>
      </c>
      <c r="N151" s="335"/>
      <c r="O151" s="162">
        <f t="shared" si="37"/>
        <v>0</v>
      </c>
      <c r="P151" s="162">
        <f t="shared" si="38"/>
        <v>0</v>
      </c>
    </row>
    <row r="152" spans="2:16">
      <c r="B152" s="9" t="str">
        <f t="shared" si="27"/>
        <v/>
      </c>
      <c r="C152" s="157">
        <f>IF(D93="","-",+C151+1)</f>
        <v>2061</v>
      </c>
      <c r="D152" s="158">
        <f>IF(F151+SUM(E$99:E151)=D$92,F151,D$92-SUM(E$99:E151))</f>
        <v>0</v>
      </c>
      <c r="E152" s="165">
        <f>IF(+J96&lt;F151,J96,D152)</f>
        <v>0</v>
      </c>
      <c r="F152" s="163">
        <f t="shared" si="34"/>
        <v>0</v>
      </c>
      <c r="G152" s="163">
        <f t="shared" si="35"/>
        <v>0</v>
      </c>
      <c r="H152" s="167">
        <f t="shared" si="32"/>
        <v>0</v>
      </c>
      <c r="I152" s="317">
        <f t="shared" si="33"/>
        <v>0</v>
      </c>
      <c r="J152" s="162">
        <f t="shared" si="39"/>
        <v>0</v>
      </c>
      <c r="K152" s="162"/>
      <c r="L152" s="335"/>
      <c r="M152" s="162">
        <f t="shared" si="36"/>
        <v>0</v>
      </c>
      <c r="N152" s="335"/>
      <c r="O152" s="162">
        <f t="shared" si="37"/>
        <v>0</v>
      </c>
      <c r="P152" s="162">
        <f t="shared" si="38"/>
        <v>0</v>
      </c>
    </row>
    <row r="153" spans="2:16">
      <c r="B153" s="9" t="str">
        <f t="shared" si="27"/>
        <v/>
      </c>
      <c r="C153" s="157">
        <f>IF(D93="","-",+C152+1)</f>
        <v>2062</v>
      </c>
      <c r="D153" s="158">
        <f>IF(F152+SUM(E$99:E152)=D$92,F152,D$92-SUM(E$99:E152))</f>
        <v>0</v>
      </c>
      <c r="E153" s="165">
        <f>IF(+J96&lt;F152,J96,D153)</f>
        <v>0</v>
      </c>
      <c r="F153" s="163">
        <f t="shared" si="34"/>
        <v>0</v>
      </c>
      <c r="G153" s="163">
        <f t="shared" si="35"/>
        <v>0</v>
      </c>
      <c r="H153" s="167">
        <f t="shared" si="32"/>
        <v>0</v>
      </c>
      <c r="I153" s="317">
        <f t="shared" si="33"/>
        <v>0</v>
      </c>
      <c r="J153" s="162">
        <f t="shared" si="39"/>
        <v>0</v>
      </c>
      <c r="K153" s="162"/>
      <c r="L153" s="335"/>
      <c r="M153" s="162">
        <f t="shared" si="36"/>
        <v>0</v>
      </c>
      <c r="N153" s="335"/>
      <c r="O153" s="162">
        <f t="shared" si="37"/>
        <v>0</v>
      </c>
      <c r="P153" s="162">
        <f t="shared" si="38"/>
        <v>0</v>
      </c>
    </row>
    <row r="154" spans="2:16" ht="13.5" thickBot="1">
      <c r="B154" s="9" t="str">
        <f t="shared" si="27"/>
        <v/>
      </c>
      <c r="C154" s="168">
        <f>IF(D93="","-",+C153+1)</f>
        <v>2063</v>
      </c>
      <c r="D154" s="219">
        <f>IF(F153+SUM(E$99:E153)=D$92,F153,D$92-SUM(E$99:E153))</f>
        <v>0</v>
      </c>
      <c r="E154" s="377">
        <f>IF(+J96&lt;F153,J96,D154)</f>
        <v>0</v>
      </c>
      <c r="F154" s="169">
        <f t="shared" si="34"/>
        <v>0</v>
      </c>
      <c r="G154" s="169">
        <f t="shared" si="35"/>
        <v>0</v>
      </c>
      <c r="H154" s="171">
        <f t="shared" si="32"/>
        <v>0</v>
      </c>
      <c r="I154" s="318">
        <f t="shared" si="33"/>
        <v>0</v>
      </c>
      <c r="J154" s="173">
        <f t="shared" si="39"/>
        <v>0</v>
      </c>
      <c r="K154" s="162"/>
      <c r="L154" s="336"/>
      <c r="M154" s="173">
        <f t="shared" si="36"/>
        <v>0</v>
      </c>
      <c r="N154" s="336"/>
      <c r="O154" s="173">
        <f t="shared" si="37"/>
        <v>0</v>
      </c>
      <c r="P154" s="173">
        <f t="shared" si="38"/>
        <v>0</v>
      </c>
    </row>
    <row r="155" spans="2:16">
      <c r="C155" s="158" t="s">
        <v>72</v>
      </c>
      <c r="D155" s="115"/>
      <c r="E155" s="115">
        <f>SUM(E99:E154)</f>
        <v>14615636</v>
      </c>
      <c r="F155" s="115"/>
      <c r="G155" s="115"/>
      <c r="H155" s="115">
        <f>SUM(H99:H154)</f>
        <v>54050837</v>
      </c>
      <c r="I155" s="115">
        <f>SUM(I99:I154)</f>
        <v>54050837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 t="s">
        <v>95</v>
      </c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74" t="s">
        <v>102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73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 t="s">
        <v>74</v>
      </c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phoneticPr fontId="0" type="noConversion"/>
  <conditionalFormatting sqref="C17:C72">
    <cfRule type="cellIs" dxfId="54" priority="1" stopIfTrue="1" operator="equal">
      <formula>$I$10</formula>
    </cfRule>
  </conditionalFormatting>
  <conditionalFormatting sqref="C99:C154">
    <cfRule type="cellIs" dxfId="53" priority="2" stopIfTrue="1" operator="equal">
      <formula>$J$92</formula>
    </cfRule>
  </conditionalFormatting>
  <pageMargins left="0.5" right="0.25" top="1" bottom="0.25" header="0.25" footer="0.5"/>
  <pageSetup scale="47" fitToHeight="0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P162"/>
  <sheetViews>
    <sheetView view="pageBreakPreview" zoomScale="75" zoomScaleNormal="100" workbookViewId="0">
      <selection activeCell="H18" sqref="H18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"&amp;RIGHT(MID(CELL("filename",$A$1),FIND("]",CELL("filename",$A$1))+1,256),1)&amp;" of "&amp;COUNT('P.001:P.xyz - blank'!$P$3)-1</f>
        <v>PSO Project 5 of 28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275</v>
      </c>
      <c r="L5" s="119"/>
      <c r="M5" s="120"/>
      <c r="N5" s="121">
        <f>VLOOKUP(I10,C17:I72,5)</f>
        <v>39392.204131039958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276</v>
      </c>
      <c r="L6" s="125"/>
      <c r="M6" s="4"/>
      <c r="N6" s="126">
        <f>VLOOKUP(I10,C17:I72,6)</f>
        <v>39392.204131039958</v>
      </c>
      <c r="O6" s="1"/>
      <c r="P6" s="1"/>
    </row>
    <row r="7" spans="1:16" ht="13.5" thickBot="1">
      <c r="C7" s="127" t="s">
        <v>41</v>
      </c>
      <c r="D7" s="343" t="s">
        <v>198</v>
      </c>
      <c r="E7" s="18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/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A9" s="107"/>
      <c r="C9" s="133" t="s">
        <v>43</v>
      </c>
      <c r="D9" s="229" t="s">
        <v>78</v>
      </c>
      <c r="E9" s="427" t="s">
        <v>303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f>387742</f>
        <v>387742</v>
      </c>
      <c r="E10" s="64" t="s">
        <v>46</v>
      </c>
      <c r="F10" s="137"/>
      <c r="G10" s="139"/>
      <c r="H10" s="139"/>
      <c r="I10" s="140">
        <f>+PSO.WS.F.BPU.ATRR.Projected!L19</f>
        <v>2020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2006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5</v>
      </c>
      <c r="E12" s="141" t="s">
        <v>51</v>
      </c>
      <c r="F12" s="139"/>
      <c r="G12" s="7"/>
      <c r="H12" s="7"/>
      <c r="I12" s="145">
        <f>PSO.WS.F.BPU.ATRR.Projected!$F$81</f>
        <v>0.10800477690995318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42</v>
      </c>
      <c r="E13" s="141" t="s">
        <v>54</v>
      </c>
      <c r="F13" s="139"/>
      <c r="G13" s="7"/>
      <c r="H13" s="7"/>
      <c r="I13" s="145">
        <f>IF(G5="",I12,PSO.WS.F.BPU.ATRR.Projected!$F$80)</f>
        <v>0.10800477690995318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9231.9523809523816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277</v>
      </c>
      <c r="H15" s="362" t="s">
        <v>278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2006</v>
      </c>
      <c r="D17" s="366">
        <v>387742</v>
      </c>
      <c r="E17" s="367">
        <v>3877</v>
      </c>
      <c r="F17" s="366">
        <v>383865</v>
      </c>
      <c r="G17" s="367">
        <v>0</v>
      </c>
      <c r="H17" s="370">
        <v>0</v>
      </c>
      <c r="I17" s="160">
        <f t="shared" ref="I17:I48" si="0">H17-G17</f>
        <v>0</v>
      </c>
      <c r="J17" s="160"/>
      <c r="K17" s="337">
        <v>0</v>
      </c>
      <c r="L17" s="161">
        <f t="shared" ref="L17:L48" si="1">IF(K17&lt;&gt;0,+G17-K17,0)</f>
        <v>0</v>
      </c>
      <c r="M17" s="337">
        <v>0</v>
      </c>
      <c r="N17" s="161">
        <f t="shared" ref="N17:N48" si="2">IF(M17&lt;&gt;0,+H17-M17,0)</f>
        <v>0</v>
      </c>
      <c r="O17" s="162">
        <f t="shared" ref="O17:O48" si="3">+N17-L17</f>
        <v>0</v>
      </c>
      <c r="P17" s="4"/>
    </row>
    <row r="18" spans="2:16">
      <c r="B18" s="9"/>
      <c r="C18" s="157">
        <f>IF(D11="","-",+C17+1)</f>
        <v>2007</v>
      </c>
      <c r="D18" s="371">
        <v>383865</v>
      </c>
      <c r="E18" s="368">
        <v>7755</v>
      </c>
      <c r="F18" s="371">
        <v>376110</v>
      </c>
      <c r="G18" s="371">
        <v>59847</v>
      </c>
      <c r="H18" s="371">
        <v>59847</v>
      </c>
      <c r="I18" s="160">
        <f t="shared" si="0"/>
        <v>0</v>
      </c>
      <c r="J18" s="160"/>
      <c r="K18" s="338">
        <v>59847</v>
      </c>
      <c r="L18" s="162">
        <f t="shared" si="1"/>
        <v>0</v>
      </c>
      <c r="M18" s="338">
        <v>59847</v>
      </c>
      <c r="N18" s="162">
        <f t="shared" si="2"/>
        <v>0</v>
      </c>
      <c r="O18" s="162">
        <f t="shared" si="3"/>
        <v>0</v>
      </c>
      <c r="P18" s="4"/>
    </row>
    <row r="19" spans="2:16">
      <c r="B19" s="9"/>
      <c r="C19" s="157">
        <f>IF(D11="","-",+C18+1)</f>
        <v>2008</v>
      </c>
      <c r="D19" s="371">
        <v>376557</v>
      </c>
      <c r="E19" s="372">
        <v>7457</v>
      </c>
      <c r="F19" s="371">
        <v>369100</v>
      </c>
      <c r="G19" s="371">
        <v>62208</v>
      </c>
      <c r="H19" s="371">
        <v>62208</v>
      </c>
      <c r="I19" s="160">
        <f t="shared" si="0"/>
        <v>0</v>
      </c>
      <c r="J19" s="160"/>
      <c r="K19" s="338">
        <v>62208</v>
      </c>
      <c r="L19" s="162">
        <f t="shared" si="1"/>
        <v>0</v>
      </c>
      <c r="M19" s="338">
        <v>62208</v>
      </c>
      <c r="N19" s="162">
        <f t="shared" si="2"/>
        <v>0</v>
      </c>
      <c r="O19" s="162">
        <f t="shared" si="3"/>
        <v>0</v>
      </c>
      <c r="P19" s="4"/>
    </row>
    <row r="20" spans="2:16">
      <c r="B20" s="9"/>
      <c r="C20" s="157">
        <f>IF(D11="","-",+C19+1)</f>
        <v>2009</v>
      </c>
      <c r="D20" s="371">
        <v>368843</v>
      </c>
      <c r="E20" s="372">
        <v>7316</v>
      </c>
      <c r="F20" s="371">
        <v>361527</v>
      </c>
      <c r="G20" s="371">
        <v>62704</v>
      </c>
      <c r="H20" s="371">
        <v>62704</v>
      </c>
      <c r="I20" s="160">
        <f t="shared" si="0"/>
        <v>0</v>
      </c>
      <c r="J20" s="160"/>
      <c r="K20" s="338">
        <v>62704</v>
      </c>
      <c r="L20" s="162">
        <f t="shared" si="1"/>
        <v>0</v>
      </c>
      <c r="M20" s="338">
        <v>62704</v>
      </c>
      <c r="N20" s="162">
        <f t="shared" si="2"/>
        <v>0</v>
      </c>
      <c r="O20" s="162">
        <f t="shared" si="3"/>
        <v>0</v>
      </c>
      <c r="P20" s="4"/>
    </row>
    <row r="21" spans="2:16">
      <c r="B21" s="9"/>
      <c r="C21" s="157">
        <f>IF(D12="","-",+C20+1)</f>
        <v>2010</v>
      </c>
      <c r="D21" s="371">
        <v>361337</v>
      </c>
      <c r="E21" s="368">
        <v>6923.9642857142853</v>
      </c>
      <c r="F21" s="371">
        <v>354413.03571428574</v>
      </c>
      <c r="G21" s="368">
        <v>58064.529944767884</v>
      </c>
      <c r="H21" s="370">
        <v>58064.529944767884</v>
      </c>
      <c r="I21" s="160">
        <f t="shared" si="0"/>
        <v>0</v>
      </c>
      <c r="J21" s="160"/>
      <c r="K21" s="380">
        <f t="shared" ref="K21:K26" si="4">G21</f>
        <v>58064.529944767884</v>
      </c>
      <c r="L21" s="162">
        <f t="shared" si="1"/>
        <v>0</v>
      </c>
      <c r="M21" s="380">
        <f t="shared" ref="M21:M26" si="5">H21</f>
        <v>58064.529944767884</v>
      </c>
      <c r="N21" s="162">
        <f t="shared" si="2"/>
        <v>0</v>
      </c>
      <c r="O21" s="162">
        <f t="shared" si="3"/>
        <v>0</v>
      </c>
      <c r="P21" s="4"/>
    </row>
    <row r="22" spans="2:16">
      <c r="B22" s="9" t="str">
        <f t="shared" ref="B22:B72" si="6">IF(D22=F21,"","IU")</f>
        <v/>
      </c>
      <c r="C22" s="157">
        <f>IF(D11="","-",+C21+1)</f>
        <v>2011</v>
      </c>
      <c r="D22" s="371">
        <v>354413.03571428574</v>
      </c>
      <c r="E22" s="368">
        <v>7602.7843137254904</v>
      </c>
      <c r="F22" s="371">
        <v>346810.25140056026</v>
      </c>
      <c r="G22" s="368">
        <v>61893.620096156621</v>
      </c>
      <c r="H22" s="370">
        <v>61893.620096156621</v>
      </c>
      <c r="I22" s="160">
        <f t="shared" si="0"/>
        <v>0</v>
      </c>
      <c r="J22" s="160"/>
      <c r="K22" s="338">
        <f t="shared" si="4"/>
        <v>61893.620096156621</v>
      </c>
      <c r="L22" s="272">
        <f t="shared" si="1"/>
        <v>0</v>
      </c>
      <c r="M22" s="338">
        <f t="shared" si="5"/>
        <v>61893.620096156621</v>
      </c>
      <c r="N22" s="162">
        <f t="shared" si="2"/>
        <v>0</v>
      </c>
      <c r="O22" s="162">
        <f t="shared" si="3"/>
        <v>0</v>
      </c>
      <c r="P22" s="4"/>
    </row>
    <row r="23" spans="2:16">
      <c r="B23" s="9" t="str">
        <f t="shared" si="6"/>
        <v/>
      </c>
      <c r="C23" s="157">
        <f>IF(D11="","-",+C22+1)</f>
        <v>2012</v>
      </c>
      <c r="D23" s="371">
        <v>346810.25140056026</v>
      </c>
      <c r="E23" s="368">
        <v>7456.5769230769229</v>
      </c>
      <c r="F23" s="371">
        <v>339353.67447748332</v>
      </c>
      <c r="G23" s="368">
        <v>54696.893588724874</v>
      </c>
      <c r="H23" s="370">
        <v>54696.893588724874</v>
      </c>
      <c r="I23" s="160">
        <f t="shared" si="0"/>
        <v>0</v>
      </c>
      <c r="J23" s="160"/>
      <c r="K23" s="338">
        <f t="shared" si="4"/>
        <v>54696.893588724874</v>
      </c>
      <c r="L23" s="272">
        <f t="shared" si="1"/>
        <v>0</v>
      </c>
      <c r="M23" s="338">
        <f t="shared" si="5"/>
        <v>54696.893588724874</v>
      </c>
      <c r="N23" s="162">
        <f t="shared" si="2"/>
        <v>0</v>
      </c>
      <c r="O23" s="162">
        <f t="shared" si="3"/>
        <v>0</v>
      </c>
      <c r="P23" s="4"/>
    </row>
    <row r="24" spans="2:16">
      <c r="B24" s="9" t="str">
        <f t="shared" si="6"/>
        <v/>
      </c>
      <c r="C24" s="157">
        <f>IF(D11="","-",+C23+1)</f>
        <v>2013</v>
      </c>
      <c r="D24" s="371">
        <v>339353.67447748332</v>
      </c>
      <c r="E24" s="368">
        <v>7456.5769230769229</v>
      </c>
      <c r="F24" s="371">
        <v>331897.09755440638</v>
      </c>
      <c r="G24" s="368">
        <v>54853.72619811543</v>
      </c>
      <c r="H24" s="370">
        <v>54853.72619811543</v>
      </c>
      <c r="I24" s="160">
        <v>0</v>
      </c>
      <c r="J24" s="160"/>
      <c r="K24" s="338">
        <f t="shared" si="4"/>
        <v>54853.72619811543</v>
      </c>
      <c r="L24" s="272">
        <f t="shared" ref="L24:L29" si="7">IF(K24&lt;&gt;0,+G24-K24,0)</f>
        <v>0</v>
      </c>
      <c r="M24" s="338">
        <f t="shared" si="5"/>
        <v>54853.72619811543</v>
      </c>
      <c r="N24" s="162">
        <f t="shared" ref="N24:N29" si="8">IF(M24&lt;&gt;0,+H24-M24,0)</f>
        <v>0</v>
      </c>
      <c r="O24" s="162">
        <f t="shared" ref="O24:O29" si="9">+N24-L24</f>
        <v>0</v>
      </c>
      <c r="P24" s="4"/>
    </row>
    <row r="25" spans="2:16">
      <c r="B25" s="9" t="str">
        <f t="shared" si="6"/>
        <v/>
      </c>
      <c r="C25" s="157">
        <f>IF(D11="","-",+C24+1)</f>
        <v>2014</v>
      </c>
      <c r="D25" s="371">
        <v>331897.09755440638</v>
      </c>
      <c r="E25" s="368">
        <v>7456.5769230769229</v>
      </c>
      <c r="F25" s="371">
        <v>324440.52063132945</v>
      </c>
      <c r="G25" s="368">
        <v>52118.659182147123</v>
      </c>
      <c r="H25" s="370">
        <v>52118.659182147123</v>
      </c>
      <c r="I25" s="160">
        <v>0</v>
      </c>
      <c r="J25" s="160"/>
      <c r="K25" s="338">
        <f t="shared" si="4"/>
        <v>52118.659182147123</v>
      </c>
      <c r="L25" s="272">
        <f t="shared" si="7"/>
        <v>0</v>
      </c>
      <c r="M25" s="338">
        <f t="shared" si="5"/>
        <v>52118.659182147123</v>
      </c>
      <c r="N25" s="162">
        <f t="shared" si="8"/>
        <v>0</v>
      </c>
      <c r="O25" s="162">
        <f t="shared" si="9"/>
        <v>0</v>
      </c>
      <c r="P25" s="4"/>
    </row>
    <row r="26" spans="2:16">
      <c r="B26" s="9" t="str">
        <f t="shared" si="6"/>
        <v/>
      </c>
      <c r="C26" s="157">
        <f>IF(D11="","-",+C25+1)</f>
        <v>2015</v>
      </c>
      <c r="D26" s="371">
        <v>324440.52063132945</v>
      </c>
      <c r="E26" s="368">
        <v>7456.5769230769229</v>
      </c>
      <c r="F26" s="371">
        <v>316983.94370825251</v>
      </c>
      <c r="G26" s="368">
        <v>51159.678410482353</v>
      </c>
      <c r="H26" s="370">
        <v>51159.678410482353</v>
      </c>
      <c r="I26" s="160">
        <v>0</v>
      </c>
      <c r="J26" s="160"/>
      <c r="K26" s="338">
        <f t="shared" si="4"/>
        <v>51159.678410482353</v>
      </c>
      <c r="L26" s="272">
        <f t="shared" si="7"/>
        <v>0</v>
      </c>
      <c r="M26" s="338">
        <f t="shared" si="5"/>
        <v>51159.678410482353</v>
      </c>
      <c r="N26" s="162">
        <f t="shared" si="8"/>
        <v>0</v>
      </c>
      <c r="O26" s="162">
        <f t="shared" si="9"/>
        <v>0</v>
      </c>
      <c r="P26" s="4"/>
    </row>
    <row r="27" spans="2:16">
      <c r="B27" s="9" t="str">
        <f t="shared" si="6"/>
        <v/>
      </c>
      <c r="C27" s="157">
        <f>IF(D11="","-",+C26+1)</f>
        <v>2016</v>
      </c>
      <c r="D27" s="371">
        <v>316983.94370825251</v>
      </c>
      <c r="E27" s="368">
        <v>7456.5769230769229</v>
      </c>
      <c r="F27" s="371">
        <v>309527.36678517557</v>
      </c>
      <c r="G27" s="368">
        <v>48054.073071867475</v>
      </c>
      <c r="H27" s="370">
        <v>48054.073071867475</v>
      </c>
      <c r="I27" s="160">
        <f t="shared" si="0"/>
        <v>0</v>
      </c>
      <c r="J27" s="160"/>
      <c r="K27" s="338">
        <f>G27</f>
        <v>48054.073071867475</v>
      </c>
      <c r="L27" s="272">
        <f t="shared" si="7"/>
        <v>0</v>
      </c>
      <c r="M27" s="338">
        <f>H27</f>
        <v>48054.073071867475</v>
      </c>
      <c r="N27" s="162">
        <f t="shared" si="8"/>
        <v>0</v>
      </c>
      <c r="O27" s="162">
        <f t="shared" si="9"/>
        <v>0</v>
      </c>
      <c r="P27" s="4"/>
    </row>
    <row r="28" spans="2:16">
      <c r="B28" s="9" t="str">
        <f t="shared" si="6"/>
        <v/>
      </c>
      <c r="C28" s="157">
        <f>IF(D11="","-",+C27+1)</f>
        <v>2017</v>
      </c>
      <c r="D28" s="371">
        <v>309527.36678517557</v>
      </c>
      <c r="E28" s="368">
        <v>8429.173913043478</v>
      </c>
      <c r="F28" s="371">
        <v>301098.19287213212</v>
      </c>
      <c r="G28" s="368">
        <v>46747.12706959022</v>
      </c>
      <c r="H28" s="370">
        <v>46747.12706959022</v>
      </c>
      <c r="I28" s="160">
        <v>0</v>
      </c>
      <c r="J28" s="160"/>
      <c r="K28" s="338">
        <f>G28</f>
        <v>46747.12706959022</v>
      </c>
      <c r="L28" s="272">
        <f t="shared" si="7"/>
        <v>0</v>
      </c>
      <c r="M28" s="338">
        <f>H28</f>
        <v>46747.12706959022</v>
      </c>
      <c r="N28" s="162">
        <f t="shared" si="8"/>
        <v>0</v>
      </c>
      <c r="O28" s="162">
        <f t="shared" si="9"/>
        <v>0</v>
      </c>
      <c r="P28" s="4"/>
    </row>
    <row r="29" spans="2:16">
      <c r="B29" s="9" t="str">
        <f t="shared" si="6"/>
        <v/>
      </c>
      <c r="C29" s="157">
        <f>IF(D11="","-",+C28+1)</f>
        <v>2018</v>
      </c>
      <c r="D29" s="371">
        <v>301098.19287213212</v>
      </c>
      <c r="E29" s="368">
        <v>8616.4888888888891</v>
      </c>
      <c r="F29" s="371">
        <v>292481.70398324321</v>
      </c>
      <c r="G29" s="368">
        <v>48199.620253747162</v>
      </c>
      <c r="H29" s="370">
        <v>48199.620253747162</v>
      </c>
      <c r="I29" s="160">
        <f t="shared" si="0"/>
        <v>0</v>
      </c>
      <c r="J29" s="160"/>
      <c r="K29" s="338">
        <f>G29</f>
        <v>48199.620253747162</v>
      </c>
      <c r="L29" s="272">
        <f t="shared" si="7"/>
        <v>0</v>
      </c>
      <c r="M29" s="338">
        <f>H29</f>
        <v>48199.620253747162</v>
      </c>
      <c r="N29" s="162">
        <f t="shared" si="8"/>
        <v>0</v>
      </c>
      <c r="O29" s="162">
        <f t="shared" si="9"/>
        <v>0</v>
      </c>
      <c r="P29" s="4"/>
    </row>
    <row r="30" spans="2:16">
      <c r="B30" s="9" t="str">
        <f t="shared" si="6"/>
        <v/>
      </c>
      <c r="C30" s="157">
        <f>IF(D11="","-",+C29+1)</f>
        <v>2019</v>
      </c>
      <c r="D30" s="371">
        <v>292481.70398324321</v>
      </c>
      <c r="E30" s="368">
        <v>8616.4888888888891</v>
      </c>
      <c r="F30" s="371">
        <v>283865.21509435429</v>
      </c>
      <c r="G30" s="368">
        <v>47033.504196066257</v>
      </c>
      <c r="H30" s="370">
        <v>47033.504196066257</v>
      </c>
      <c r="I30" s="160">
        <f t="shared" si="0"/>
        <v>0</v>
      </c>
      <c r="J30" s="160"/>
      <c r="K30" s="338">
        <f>G30</f>
        <v>47033.504196066257</v>
      </c>
      <c r="L30" s="272">
        <f t="shared" ref="L30" si="10">IF(K30&lt;&gt;0,+G30-K30,0)</f>
        <v>0</v>
      </c>
      <c r="M30" s="338">
        <f>H30</f>
        <v>47033.504196066257</v>
      </c>
      <c r="N30" s="162">
        <f t="shared" ref="N30" si="11">IF(M30&lt;&gt;0,+H30-M30,0)</f>
        <v>0</v>
      </c>
      <c r="O30" s="162">
        <f t="shared" ref="O30" si="12">+N30-L30</f>
        <v>0</v>
      </c>
      <c r="P30" s="4"/>
    </row>
    <row r="31" spans="2:16">
      <c r="B31" s="9" t="str">
        <f t="shared" si="6"/>
        <v/>
      </c>
      <c r="C31" s="157">
        <f>IF(D11="","-",+C30+1)</f>
        <v>2020</v>
      </c>
      <c r="D31" s="163">
        <f>IF(F30+SUM(E$17:E30)=D$10,F30,D$10-SUM(E$17:E30))</f>
        <v>283865.21509435429</v>
      </c>
      <c r="E31" s="164">
        <f>IF(+I14&lt;F30,I14,D31)</f>
        <v>9231.9523809523816</v>
      </c>
      <c r="F31" s="163">
        <f t="shared" ref="F31:F72" si="13">+D31-E31</f>
        <v>274633.26271340193</v>
      </c>
      <c r="G31" s="165">
        <f t="shared" ref="G31:G72" si="14">(D31+F31)/2*I$12+E31</f>
        <v>39392.204131039958</v>
      </c>
      <c r="H31" s="147">
        <f t="shared" ref="H31:H72" si="15">+(D31+F31)/2*I$13+E31</f>
        <v>39392.204131039958</v>
      </c>
      <c r="I31" s="160">
        <f t="shared" si="0"/>
        <v>0</v>
      </c>
      <c r="J31" s="160"/>
      <c r="K31" s="335"/>
      <c r="L31" s="162">
        <f t="shared" si="1"/>
        <v>0</v>
      </c>
      <c r="M31" s="335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6"/>
        <v/>
      </c>
      <c r="C32" s="157">
        <f>IF(D11="","-",+C31+1)</f>
        <v>2021</v>
      </c>
      <c r="D32" s="163">
        <f>IF(F31+SUM(E$17:E31)=D$10,F31,D$10-SUM(E$17:E31))</f>
        <v>274633.26271340193</v>
      </c>
      <c r="E32" s="164">
        <f>IF(+I14&lt;F31,I14,D32)</f>
        <v>9231.9523809523816</v>
      </c>
      <c r="F32" s="163">
        <f t="shared" si="13"/>
        <v>265401.31033244956</v>
      </c>
      <c r="G32" s="165">
        <f t="shared" si="14"/>
        <v>38395.109173691875</v>
      </c>
      <c r="H32" s="147">
        <f t="shared" si="15"/>
        <v>38395.109173691875</v>
      </c>
      <c r="I32" s="160">
        <f t="shared" si="0"/>
        <v>0</v>
      </c>
      <c r="J32" s="160"/>
      <c r="K32" s="335"/>
      <c r="L32" s="162">
        <f t="shared" si="1"/>
        <v>0</v>
      </c>
      <c r="M32" s="335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6"/>
        <v/>
      </c>
      <c r="C33" s="157">
        <f>IF(D11="","-",+C32+1)</f>
        <v>2022</v>
      </c>
      <c r="D33" s="163">
        <f>IF(F32+SUM(E$17:E32)=D$10,F32,D$10-SUM(E$17:E32))</f>
        <v>265401.31033244956</v>
      </c>
      <c r="E33" s="164">
        <f>IF(+I14&lt;F32,I14,D33)</f>
        <v>9231.9523809523816</v>
      </c>
      <c r="F33" s="163">
        <f t="shared" si="13"/>
        <v>256169.35795149719</v>
      </c>
      <c r="G33" s="165">
        <f t="shared" si="14"/>
        <v>37398.014216343814</v>
      </c>
      <c r="H33" s="147">
        <f t="shared" si="15"/>
        <v>37398.014216343814</v>
      </c>
      <c r="I33" s="160">
        <f t="shared" si="0"/>
        <v>0</v>
      </c>
      <c r="J33" s="160"/>
      <c r="K33" s="335"/>
      <c r="L33" s="162">
        <f t="shared" si="1"/>
        <v>0</v>
      </c>
      <c r="M33" s="335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6"/>
        <v/>
      </c>
      <c r="C34" s="157">
        <f>IF(D11="","-",+C33+1)</f>
        <v>2023</v>
      </c>
      <c r="D34" s="163">
        <f>IF(F33+SUM(E$17:E33)=D$10,F33,D$10-SUM(E$17:E33))</f>
        <v>256169.35795149719</v>
      </c>
      <c r="E34" s="164">
        <f>IF(+I14&lt;F33,I14,D34)</f>
        <v>9231.9523809523816</v>
      </c>
      <c r="F34" s="163">
        <f t="shared" si="13"/>
        <v>246937.40557054483</v>
      </c>
      <c r="G34" s="165">
        <f t="shared" si="14"/>
        <v>36400.919258995738</v>
      </c>
      <c r="H34" s="147">
        <f t="shared" si="15"/>
        <v>36400.919258995738</v>
      </c>
      <c r="I34" s="160">
        <f t="shared" si="0"/>
        <v>0</v>
      </c>
      <c r="J34" s="160"/>
      <c r="K34" s="335"/>
      <c r="L34" s="162">
        <f t="shared" si="1"/>
        <v>0</v>
      </c>
      <c r="M34" s="335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6"/>
        <v/>
      </c>
      <c r="C35" s="157">
        <f>IF(D11="","-",+C34+1)</f>
        <v>2024</v>
      </c>
      <c r="D35" s="163">
        <f>IF(F34+SUM(E$17:E34)=D$10,F34,D$10-SUM(E$17:E34))</f>
        <v>246937.40557054483</v>
      </c>
      <c r="E35" s="164">
        <f>IF(+I14&lt;F34,I14,D35)</f>
        <v>9231.9523809523816</v>
      </c>
      <c r="F35" s="163">
        <f t="shared" si="13"/>
        <v>237705.45318959246</v>
      </c>
      <c r="G35" s="165">
        <f t="shared" si="14"/>
        <v>35403.82430164767</v>
      </c>
      <c r="H35" s="147">
        <f t="shared" si="15"/>
        <v>35403.82430164767</v>
      </c>
      <c r="I35" s="160">
        <f t="shared" si="0"/>
        <v>0</v>
      </c>
      <c r="J35" s="160"/>
      <c r="K35" s="335"/>
      <c r="L35" s="162">
        <f t="shared" si="1"/>
        <v>0</v>
      </c>
      <c r="M35" s="335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6"/>
        <v/>
      </c>
      <c r="C36" s="157">
        <f>IF(D11="","-",+C35+1)</f>
        <v>2025</v>
      </c>
      <c r="D36" s="163">
        <f>IF(F35+SUM(E$17:E35)=D$10,F35,D$10-SUM(E$17:E35))</f>
        <v>237705.45318959246</v>
      </c>
      <c r="E36" s="164">
        <f>IF(+I14&lt;F35,I14,D36)</f>
        <v>9231.9523809523816</v>
      </c>
      <c r="F36" s="163">
        <f t="shared" si="13"/>
        <v>228473.50080864009</v>
      </c>
      <c r="G36" s="165">
        <f t="shared" si="14"/>
        <v>34406.729344299602</v>
      </c>
      <c r="H36" s="147">
        <f t="shared" si="15"/>
        <v>34406.729344299602</v>
      </c>
      <c r="I36" s="160">
        <f t="shared" si="0"/>
        <v>0</v>
      </c>
      <c r="J36" s="160"/>
      <c r="K36" s="335"/>
      <c r="L36" s="162">
        <f t="shared" si="1"/>
        <v>0</v>
      </c>
      <c r="M36" s="335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6"/>
        <v/>
      </c>
      <c r="C37" s="157">
        <f>IF(D11="","-",+C36+1)</f>
        <v>2026</v>
      </c>
      <c r="D37" s="163">
        <f>IF(F36+SUM(E$17:E36)=D$10,F36,D$10-SUM(E$17:E36))</f>
        <v>228473.50080864009</v>
      </c>
      <c r="E37" s="164">
        <f>IF(+I14&lt;F36,I14,D37)</f>
        <v>9231.9523809523816</v>
      </c>
      <c r="F37" s="163">
        <f t="shared" si="13"/>
        <v>219241.54842768773</v>
      </c>
      <c r="G37" s="165">
        <f t="shared" si="14"/>
        <v>33409.634386951526</v>
      </c>
      <c r="H37" s="147">
        <f t="shared" si="15"/>
        <v>33409.634386951526</v>
      </c>
      <c r="I37" s="160">
        <f t="shared" si="0"/>
        <v>0</v>
      </c>
      <c r="J37" s="160"/>
      <c r="K37" s="335"/>
      <c r="L37" s="162">
        <f t="shared" si="1"/>
        <v>0</v>
      </c>
      <c r="M37" s="335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6"/>
        <v/>
      </c>
      <c r="C38" s="157">
        <f>IF(D11="","-",+C37+1)</f>
        <v>2027</v>
      </c>
      <c r="D38" s="163">
        <f>IF(F37+SUM(E$17:E37)=D$10,F37,D$10-SUM(E$17:E37))</f>
        <v>219241.54842768773</v>
      </c>
      <c r="E38" s="164">
        <f>IF(+I14&lt;F37,I14,D38)</f>
        <v>9231.9523809523816</v>
      </c>
      <c r="F38" s="163">
        <f t="shared" si="13"/>
        <v>210009.59604673536</v>
      </c>
      <c r="G38" s="165">
        <f t="shared" si="14"/>
        <v>32412.539429603454</v>
      </c>
      <c r="H38" s="147">
        <f t="shared" si="15"/>
        <v>32412.539429603454</v>
      </c>
      <c r="I38" s="160">
        <f t="shared" si="0"/>
        <v>0</v>
      </c>
      <c r="J38" s="160"/>
      <c r="K38" s="335"/>
      <c r="L38" s="162">
        <f t="shared" si="1"/>
        <v>0</v>
      </c>
      <c r="M38" s="335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6"/>
        <v/>
      </c>
      <c r="C39" s="157">
        <f>IF(D11="","-",+C38+1)</f>
        <v>2028</v>
      </c>
      <c r="D39" s="163">
        <f>IF(F38+SUM(E$17:E38)=D$10,F38,D$10-SUM(E$17:E38))</f>
        <v>210009.59604673536</v>
      </c>
      <c r="E39" s="164">
        <f>IF(+I14&lt;F38,I14,D39)</f>
        <v>9231.9523809523816</v>
      </c>
      <c r="F39" s="163">
        <f t="shared" si="13"/>
        <v>200777.64366578299</v>
      </c>
      <c r="G39" s="165">
        <f t="shared" si="14"/>
        <v>31415.444472255382</v>
      </c>
      <c r="H39" s="147">
        <f t="shared" si="15"/>
        <v>31415.444472255382</v>
      </c>
      <c r="I39" s="160">
        <f t="shared" si="0"/>
        <v>0</v>
      </c>
      <c r="J39" s="160"/>
      <c r="K39" s="335"/>
      <c r="L39" s="162">
        <f t="shared" si="1"/>
        <v>0</v>
      </c>
      <c r="M39" s="335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6"/>
        <v/>
      </c>
      <c r="C40" s="157">
        <f>IF(D11="","-",+C39+1)</f>
        <v>2029</v>
      </c>
      <c r="D40" s="163">
        <f>IF(F39+SUM(E$17:E39)=D$10,F39,D$10-SUM(E$17:E39))</f>
        <v>200777.64366578299</v>
      </c>
      <c r="E40" s="164">
        <f>IF(+I14&lt;F39,I14,D40)</f>
        <v>9231.9523809523816</v>
      </c>
      <c r="F40" s="163">
        <f t="shared" si="13"/>
        <v>191545.69128483062</v>
      </c>
      <c r="G40" s="165">
        <f t="shared" si="14"/>
        <v>30418.349514907313</v>
      </c>
      <c r="H40" s="147">
        <f t="shared" si="15"/>
        <v>30418.349514907313</v>
      </c>
      <c r="I40" s="160">
        <f t="shared" si="0"/>
        <v>0</v>
      </c>
      <c r="J40" s="160"/>
      <c r="K40" s="335"/>
      <c r="L40" s="162">
        <f t="shared" si="1"/>
        <v>0</v>
      </c>
      <c r="M40" s="335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6"/>
        <v/>
      </c>
      <c r="C41" s="157">
        <f>IF(D11="","-",+C40+1)</f>
        <v>2030</v>
      </c>
      <c r="D41" s="163">
        <f>IF(F40+SUM(E$17:E40)=D$10,F40,D$10-SUM(E$17:E40))</f>
        <v>191545.69128483062</v>
      </c>
      <c r="E41" s="164">
        <f>IF(+I14&lt;F40,I14,D41)</f>
        <v>9231.9523809523816</v>
      </c>
      <c r="F41" s="163">
        <f t="shared" si="13"/>
        <v>182313.73890387826</v>
      </c>
      <c r="G41" s="165">
        <f t="shared" si="14"/>
        <v>29421.254557559241</v>
      </c>
      <c r="H41" s="147">
        <f t="shared" si="15"/>
        <v>29421.254557559241</v>
      </c>
      <c r="I41" s="160">
        <f t="shared" si="0"/>
        <v>0</v>
      </c>
      <c r="J41" s="160"/>
      <c r="K41" s="335"/>
      <c r="L41" s="162">
        <f t="shared" si="1"/>
        <v>0</v>
      </c>
      <c r="M41" s="335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6"/>
        <v/>
      </c>
      <c r="C42" s="157">
        <f>IF(D11="","-",+C41+1)</f>
        <v>2031</v>
      </c>
      <c r="D42" s="163">
        <f>IF(F41+SUM(E$17:E41)=D$10,F41,D$10-SUM(E$17:E41))</f>
        <v>182313.73890387826</v>
      </c>
      <c r="E42" s="164">
        <f>IF(+I14&lt;F41,I14,D42)</f>
        <v>9231.9523809523816</v>
      </c>
      <c r="F42" s="163">
        <f t="shared" si="13"/>
        <v>173081.78652292589</v>
      </c>
      <c r="G42" s="165">
        <f t="shared" si="14"/>
        <v>28424.159600211169</v>
      </c>
      <c r="H42" s="147">
        <f t="shared" si="15"/>
        <v>28424.159600211169</v>
      </c>
      <c r="I42" s="160">
        <f t="shared" si="0"/>
        <v>0</v>
      </c>
      <c r="J42" s="160"/>
      <c r="K42" s="335"/>
      <c r="L42" s="162">
        <f t="shared" si="1"/>
        <v>0</v>
      </c>
      <c r="M42" s="335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6"/>
        <v/>
      </c>
      <c r="C43" s="157">
        <f>IF(D11="","-",+C42+1)</f>
        <v>2032</v>
      </c>
      <c r="D43" s="163">
        <f>IF(F42+SUM(E$17:E42)=D$10,F42,D$10-SUM(E$17:E42))</f>
        <v>173081.78652292589</v>
      </c>
      <c r="E43" s="164">
        <f>IF(+I14&lt;F42,I14,D43)</f>
        <v>9231.9523809523816</v>
      </c>
      <c r="F43" s="163">
        <f t="shared" si="13"/>
        <v>163849.83414197352</v>
      </c>
      <c r="G43" s="165">
        <f t="shared" si="14"/>
        <v>27427.064642863097</v>
      </c>
      <c r="H43" s="147">
        <f t="shared" si="15"/>
        <v>27427.064642863097</v>
      </c>
      <c r="I43" s="160">
        <f t="shared" si="0"/>
        <v>0</v>
      </c>
      <c r="J43" s="160"/>
      <c r="K43" s="335"/>
      <c r="L43" s="162">
        <f t="shared" si="1"/>
        <v>0</v>
      </c>
      <c r="M43" s="335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6"/>
        <v/>
      </c>
      <c r="C44" s="157">
        <f>IF(D11="","-",+C43+1)</f>
        <v>2033</v>
      </c>
      <c r="D44" s="163">
        <f>IF(F43+SUM(E$17:E43)=D$10,F43,D$10-SUM(E$17:E43))</f>
        <v>163849.83414197352</v>
      </c>
      <c r="E44" s="164">
        <f>IF(+I14&lt;F43,I14,D44)</f>
        <v>9231.9523809523816</v>
      </c>
      <c r="F44" s="163">
        <f t="shared" si="13"/>
        <v>154617.88176102116</v>
      </c>
      <c r="G44" s="165">
        <f t="shared" si="14"/>
        <v>26429.969685515025</v>
      </c>
      <c r="H44" s="147">
        <f t="shared" si="15"/>
        <v>26429.969685515025</v>
      </c>
      <c r="I44" s="160">
        <f t="shared" si="0"/>
        <v>0</v>
      </c>
      <c r="J44" s="160"/>
      <c r="K44" s="335"/>
      <c r="L44" s="162">
        <f t="shared" si="1"/>
        <v>0</v>
      </c>
      <c r="M44" s="335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6"/>
        <v/>
      </c>
      <c r="C45" s="157">
        <f>IF(D11="","-",+C44+1)</f>
        <v>2034</v>
      </c>
      <c r="D45" s="163">
        <f>IF(F44+SUM(E$17:E44)=D$10,F44,D$10-SUM(E$17:E44))</f>
        <v>154617.88176102116</v>
      </c>
      <c r="E45" s="164">
        <f>IF(+I14&lt;F44,I14,D45)</f>
        <v>9231.9523809523816</v>
      </c>
      <c r="F45" s="163">
        <f t="shared" si="13"/>
        <v>145385.92938006879</v>
      </c>
      <c r="G45" s="165">
        <f t="shared" si="14"/>
        <v>25432.874728166957</v>
      </c>
      <c r="H45" s="147">
        <f t="shared" si="15"/>
        <v>25432.874728166957</v>
      </c>
      <c r="I45" s="160">
        <f t="shared" si="0"/>
        <v>0</v>
      </c>
      <c r="J45" s="160"/>
      <c r="K45" s="335"/>
      <c r="L45" s="162">
        <f t="shared" si="1"/>
        <v>0</v>
      </c>
      <c r="M45" s="335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6"/>
        <v/>
      </c>
      <c r="C46" s="157">
        <f>IF(D11="","-",+C45+1)</f>
        <v>2035</v>
      </c>
      <c r="D46" s="163">
        <f>IF(F45+SUM(E$17:E45)=D$10,F45,D$10-SUM(E$17:E45))</f>
        <v>145385.92938006879</v>
      </c>
      <c r="E46" s="164">
        <f>IF(+I14&lt;F45,I14,D46)</f>
        <v>9231.9523809523816</v>
      </c>
      <c r="F46" s="163">
        <f t="shared" si="13"/>
        <v>136153.97699911642</v>
      </c>
      <c r="G46" s="165">
        <f t="shared" si="14"/>
        <v>24435.779770818881</v>
      </c>
      <c r="H46" s="147">
        <f t="shared" si="15"/>
        <v>24435.779770818881</v>
      </c>
      <c r="I46" s="160">
        <f t="shared" si="0"/>
        <v>0</v>
      </c>
      <c r="J46" s="160"/>
      <c r="K46" s="335"/>
      <c r="L46" s="162">
        <f t="shared" si="1"/>
        <v>0</v>
      </c>
      <c r="M46" s="335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6"/>
        <v/>
      </c>
      <c r="C47" s="157">
        <f>IF(D11="","-",+C46+1)</f>
        <v>2036</v>
      </c>
      <c r="D47" s="163">
        <f>IF(F46+SUM(E$17:E46)=D$10,F46,D$10-SUM(E$17:E46))</f>
        <v>136153.97699911642</v>
      </c>
      <c r="E47" s="164">
        <f>IF(+I14&lt;F46,I14,D47)</f>
        <v>9231.9523809523816</v>
      </c>
      <c r="F47" s="163">
        <f t="shared" si="13"/>
        <v>126922.02461816404</v>
      </c>
      <c r="G47" s="165">
        <f t="shared" si="14"/>
        <v>23438.684813470813</v>
      </c>
      <c r="H47" s="147">
        <f t="shared" si="15"/>
        <v>23438.684813470813</v>
      </c>
      <c r="I47" s="160">
        <f t="shared" si="0"/>
        <v>0</v>
      </c>
      <c r="J47" s="160"/>
      <c r="K47" s="335"/>
      <c r="L47" s="162">
        <f t="shared" si="1"/>
        <v>0</v>
      </c>
      <c r="M47" s="335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6"/>
        <v/>
      </c>
      <c r="C48" s="157">
        <f>IF(D11="","-",+C47+1)</f>
        <v>2037</v>
      </c>
      <c r="D48" s="163">
        <f>IF(F47+SUM(E$17:E47)=D$10,F47,D$10-SUM(E$17:E47))</f>
        <v>126922.02461816404</v>
      </c>
      <c r="E48" s="164">
        <f>IF(+I14&lt;F47,I14,D48)</f>
        <v>9231.9523809523816</v>
      </c>
      <c r="F48" s="163">
        <f t="shared" si="13"/>
        <v>117690.07223721166</v>
      </c>
      <c r="G48" s="165">
        <f t="shared" si="14"/>
        <v>22441.589856122737</v>
      </c>
      <c r="H48" s="147">
        <f t="shared" si="15"/>
        <v>22441.589856122737</v>
      </c>
      <c r="I48" s="160">
        <f t="shared" si="0"/>
        <v>0</v>
      </c>
      <c r="J48" s="160"/>
      <c r="K48" s="335"/>
      <c r="L48" s="162">
        <f t="shared" si="1"/>
        <v>0</v>
      </c>
      <c r="M48" s="335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6"/>
        <v/>
      </c>
      <c r="C49" s="157">
        <f>IF(D11="","-",+C48+1)</f>
        <v>2038</v>
      </c>
      <c r="D49" s="163">
        <f>IF(F48+SUM(E$17:E48)=D$10,F48,D$10-SUM(E$17:E48))</f>
        <v>117690.07223721166</v>
      </c>
      <c r="E49" s="164">
        <f>IF(+I14&lt;F48,I14,D49)</f>
        <v>9231.9523809523816</v>
      </c>
      <c r="F49" s="163">
        <f t="shared" si="13"/>
        <v>108458.11985625928</v>
      </c>
      <c r="G49" s="165">
        <f t="shared" si="14"/>
        <v>21444.494898774665</v>
      </c>
      <c r="H49" s="147">
        <f t="shared" si="15"/>
        <v>21444.494898774665</v>
      </c>
      <c r="I49" s="160">
        <f t="shared" ref="I49:I72" si="16">H49-G49</f>
        <v>0</v>
      </c>
      <c r="J49" s="160"/>
      <c r="K49" s="335"/>
      <c r="L49" s="162">
        <f t="shared" ref="L49:L72" si="17">IF(K49&lt;&gt;0,+G49-K49,0)</f>
        <v>0</v>
      </c>
      <c r="M49" s="335"/>
      <c r="N49" s="162">
        <f t="shared" ref="N49:N72" si="18">IF(M49&lt;&gt;0,+H49-M49,0)</f>
        <v>0</v>
      </c>
      <c r="O49" s="162">
        <f t="shared" ref="O49:O72" si="19">+N49-L49</f>
        <v>0</v>
      </c>
      <c r="P49" s="4"/>
    </row>
    <row r="50" spans="2:16">
      <c r="B50" s="9" t="str">
        <f t="shared" si="6"/>
        <v/>
      </c>
      <c r="C50" s="157">
        <f>IF(D11="","-",+C49+1)</f>
        <v>2039</v>
      </c>
      <c r="D50" s="163">
        <f>IF(F49+SUM(E$17:E49)=D$10,F49,D$10-SUM(E$17:E49))</f>
        <v>108458.11985625928</v>
      </c>
      <c r="E50" s="164">
        <f>IF(+I14&lt;F49,I14,D50)</f>
        <v>9231.9523809523816</v>
      </c>
      <c r="F50" s="163">
        <f t="shared" si="13"/>
        <v>99226.167475306895</v>
      </c>
      <c r="G50" s="165">
        <f t="shared" si="14"/>
        <v>20447.399941426593</v>
      </c>
      <c r="H50" s="147">
        <f t="shared" si="15"/>
        <v>20447.399941426593</v>
      </c>
      <c r="I50" s="160">
        <f t="shared" si="16"/>
        <v>0</v>
      </c>
      <c r="J50" s="160"/>
      <c r="K50" s="335"/>
      <c r="L50" s="162">
        <f t="shared" si="17"/>
        <v>0</v>
      </c>
      <c r="M50" s="335"/>
      <c r="N50" s="162">
        <f t="shared" si="18"/>
        <v>0</v>
      </c>
      <c r="O50" s="162">
        <f t="shared" si="19"/>
        <v>0</v>
      </c>
      <c r="P50" s="4"/>
    </row>
    <row r="51" spans="2:16">
      <c r="B51" s="9" t="str">
        <f t="shared" si="6"/>
        <v/>
      </c>
      <c r="C51" s="157">
        <f>IF(D11="","-",+C50+1)</f>
        <v>2040</v>
      </c>
      <c r="D51" s="163">
        <f>IF(F50+SUM(E$17:E50)=D$10,F50,D$10-SUM(E$17:E50))</f>
        <v>99226.167475306895</v>
      </c>
      <c r="E51" s="164">
        <f>IF(+I14&lt;F50,I14,D51)</f>
        <v>9231.9523809523816</v>
      </c>
      <c r="F51" s="163">
        <f t="shared" si="13"/>
        <v>89994.215094354513</v>
      </c>
      <c r="G51" s="165">
        <f t="shared" si="14"/>
        <v>19450.304984078517</v>
      </c>
      <c r="H51" s="147">
        <f t="shared" si="15"/>
        <v>19450.304984078517</v>
      </c>
      <c r="I51" s="160">
        <f t="shared" si="16"/>
        <v>0</v>
      </c>
      <c r="J51" s="160"/>
      <c r="K51" s="335"/>
      <c r="L51" s="162">
        <f t="shared" si="17"/>
        <v>0</v>
      </c>
      <c r="M51" s="335"/>
      <c r="N51" s="162">
        <f t="shared" si="18"/>
        <v>0</v>
      </c>
      <c r="O51" s="162">
        <f t="shared" si="19"/>
        <v>0</v>
      </c>
      <c r="P51" s="4"/>
    </row>
    <row r="52" spans="2:16">
      <c r="B52" s="9" t="str">
        <f t="shared" si="6"/>
        <v/>
      </c>
      <c r="C52" s="157">
        <f>IF(D11="","-",+C51+1)</f>
        <v>2041</v>
      </c>
      <c r="D52" s="163">
        <f>IF(F51+SUM(E$17:E51)=D$10,F51,D$10-SUM(E$17:E51))</f>
        <v>89994.215094354513</v>
      </c>
      <c r="E52" s="164">
        <f>IF(+I14&lt;F51,I14,D52)</f>
        <v>9231.9523809523816</v>
      </c>
      <c r="F52" s="163">
        <f t="shared" si="13"/>
        <v>80762.262713402131</v>
      </c>
      <c r="G52" s="165">
        <f t="shared" si="14"/>
        <v>18453.210026730445</v>
      </c>
      <c r="H52" s="147">
        <f t="shared" si="15"/>
        <v>18453.210026730445</v>
      </c>
      <c r="I52" s="160">
        <f t="shared" si="16"/>
        <v>0</v>
      </c>
      <c r="J52" s="160"/>
      <c r="K52" s="335"/>
      <c r="L52" s="162">
        <f t="shared" si="17"/>
        <v>0</v>
      </c>
      <c r="M52" s="335"/>
      <c r="N52" s="162">
        <f t="shared" si="18"/>
        <v>0</v>
      </c>
      <c r="O52" s="162">
        <f t="shared" si="19"/>
        <v>0</v>
      </c>
      <c r="P52" s="4"/>
    </row>
    <row r="53" spans="2:16">
      <c r="B53" s="9" t="str">
        <f t="shared" si="6"/>
        <v/>
      </c>
      <c r="C53" s="157">
        <f>IF(D11="","-",+C52+1)</f>
        <v>2042</v>
      </c>
      <c r="D53" s="163">
        <f>IF(F52+SUM(E$17:E52)=D$10,F52,D$10-SUM(E$17:E52))</f>
        <v>80762.262713402131</v>
      </c>
      <c r="E53" s="164">
        <f>IF(+I14&lt;F52,I14,D53)</f>
        <v>9231.9523809523816</v>
      </c>
      <c r="F53" s="163">
        <f t="shared" si="13"/>
        <v>71530.31033244975</v>
      </c>
      <c r="G53" s="165">
        <f t="shared" si="14"/>
        <v>17456.115069382373</v>
      </c>
      <c r="H53" s="147">
        <f t="shared" si="15"/>
        <v>17456.115069382373</v>
      </c>
      <c r="I53" s="160">
        <f t="shared" si="16"/>
        <v>0</v>
      </c>
      <c r="J53" s="160"/>
      <c r="K53" s="335"/>
      <c r="L53" s="162">
        <f t="shared" si="17"/>
        <v>0</v>
      </c>
      <c r="M53" s="335"/>
      <c r="N53" s="162">
        <f t="shared" si="18"/>
        <v>0</v>
      </c>
      <c r="O53" s="162">
        <f t="shared" si="19"/>
        <v>0</v>
      </c>
      <c r="P53" s="4"/>
    </row>
    <row r="54" spans="2:16">
      <c r="B54" s="9" t="str">
        <f t="shared" si="6"/>
        <v/>
      </c>
      <c r="C54" s="157">
        <f>IF(D11="","-",+C53+1)</f>
        <v>2043</v>
      </c>
      <c r="D54" s="163">
        <f>IF(F53+SUM(E$17:E53)=D$10,F53,D$10-SUM(E$17:E53))</f>
        <v>71530.31033244975</v>
      </c>
      <c r="E54" s="164">
        <f>IF(+I14&lt;F53,I14,D54)</f>
        <v>9231.9523809523816</v>
      </c>
      <c r="F54" s="163">
        <f t="shared" si="13"/>
        <v>62298.357951497368</v>
      </c>
      <c r="G54" s="165">
        <f t="shared" si="14"/>
        <v>16459.020112034297</v>
      </c>
      <c r="H54" s="147">
        <f t="shared" si="15"/>
        <v>16459.020112034297</v>
      </c>
      <c r="I54" s="160">
        <f t="shared" si="16"/>
        <v>0</v>
      </c>
      <c r="J54" s="160"/>
      <c r="K54" s="335"/>
      <c r="L54" s="162">
        <f t="shared" si="17"/>
        <v>0</v>
      </c>
      <c r="M54" s="335"/>
      <c r="N54" s="162">
        <f t="shared" si="18"/>
        <v>0</v>
      </c>
      <c r="O54" s="162">
        <f t="shared" si="19"/>
        <v>0</v>
      </c>
      <c r="P54" s="4"/>
    </row>
    <row r="55" spans="2:16">
      <c r="B55" s="9" t="str">
        <f t="shared" si="6"/>
        <v/>
      </c>
      <c r="C55" s="157">
        <f>IF(D11="","-",+C54+1)</f>
        <v>2044</v>
      </c>
      <c r="D55" s="163">
        <f>IF(F54+SUM(E$17:E54)=D$10,F54,D$10-SUM(E$17:E54))</f>
        <v>62298.357951497368</v>
      </c>
      <c r="E55" s="164">
        <f>IF(+I14&lt;F54,I14,D55)</f>
        <v>9231.9523809523816</v>
      </c>
      <c r="F55" s="163">
        <f t="shared" si="13"/>
        <v>53066.405570544986</v>
      </c>
      <c r="G55" s="165">
        <f t="shared" si="14"/>
        <v>15461.925154686225</v>
      </c>
      <c r="H55" s="147">
        <f t="shared" si="15"/>
        <v>15461.925154686225</v>
      </c>
      <c r="I55" s="160">
        <f t="shared" si="16"/>
        <v>0</v>
      </c>
      <c r="J55" s="160"/>
      <c r="K55" s="335"/>
      <c r="L55" s="162">
        <f t="shared" si="17"/>
        <v>0</v>
      </c>
      <c r="M55" s="335"/>
      <c r="N55" s="162">
        <f t="shared" si="18"/>
        <v>0</v>
      </c>
      <c r="O55" s="162">
        <f t="shared" si="19"/>
        <v>0</v>
      </c>
      <c r="P55" s="4"/>
    </row>
    <row r="56" spans="2:16">
      <c r="B56" s="9" t="str">
        <f t="shared" si="6"/>
        <v/>
      </c>
      <c r="C56" s="157">
        <f>IF(D11="","-",+C55+1)</f>
        <v>2045</v>
      </c>
      <c r="D56" s="163">
        <f>IF(F55+SUM(E$17:E55)=D$10,F55,D$10-SUM(E$17:E55))</f>
        <v>53066.405570544986</v>
      </c>
      <c r="E56" s="164">
        <f>IF(+I14&lt;F55,I14,D56)</f>
        <v>9231.9523809523816</v>
      </c>
      <c r="F56" s="163">
        <f t="shared" si="13"/>
        <v>43834.453189592605</v>
      </c>
      <c r="G56" s="165">
        <f t="shared" si="14"/>
        <v>14464.830197338153</v>
      </c>
      <c r="H56" s="147">
        <f t="shared" si="15"/>
        <v>14464.830197338153</v>
      </c>
      <c r="I56" s="160">
        <f t="shared" si="16"/>
        <v>0</v>
      </c>
      <c r="J56" s="160"/>
      <c r="K56" s="335"/>
      <c r="L56" s="162">
        <f t="shared" si="17"/>
        <v>0</v>
      </c>
      <c r="M56" s="335"/>
      <c r="N56" s="162">
        <f t="shared" si="18"/>
        <v>0</v>
      </c>
      <c r="O56" s="162">
        <f t="shared" si="19"/>
        <v>0</v>
      </c>
      <c r="P56" s="4"/>
    </row>
    <row r="57" spans="2:16">
      <c r="B57" s="9" t="str">
        <f t="shared" si="6"/>
        <v/>
      </c>
      <c r="C57" s="157">
        <f>IF(D11="","-",+C56+1)</f>
        <v>2046</v>
      </c>
      <c r="D57" s="163">
        <f>IF(F56+SUM(E$17:E56)=D$10,F56,D$10-SUM(E$17:E56))</f>
        <v>43834.453189592605</v>
      </c>
      <c r="E57" s="164">
        <f>IF(+I14&lt;F56,I14,D57)</f>
        <v>9231.9523809523816</v>
      </c>
      <c r="F57" s="163">
        <f t="shared" si="13"/>
        <v>34602.500808640223</v>
      </c>
      <c r="G57" s="165">
        <f t="shared" si="14"/>
        <v>13467.735239990081</v>
      </c>
      <c r="H57" s="147">
        <f t="shared" si="15"/>
        <v>13467.735239990081</v>
      </c>
      <c r="I57" s="160">
        <f t="shared" si="16"/>
        <v>0</v>
      </c>
      <c r="J57" s="160"/>
      <c r="K57" s="335"/>
      <c r="L57" s="162">
        <f t="shared" si="17"/>
        <v>0</v>
      </c>
      <c r="M57" s="335"/>
      <c r="N57" s="162">
        <f t="shared" si="18"/>
        <v>0</v>
      </c>
      <c r="O57" s="162">
        <f t="shared" si="19"/>
        <v>0</v>
      </c>
      <c r="P57" s="4"/>
    </row>
    <row r="58" spans="2:16">
      <c r="B58" s="9" t="str">
        <f t="shared" si="6"/>
        <v/>
      </c>
      <c r="C58" s="157">
        <f>IF(D11="","-",+C57+1)</f>
        <v>2047</v>
      </c>
      <c r="D58" s="163">
        <f>IF(F57+SUM(E$17:E57)=D$10,F57,D$10-SUM(E$17:E57))</f>
        <v>34602.500808640223</v>
      </c>
      <c r="E58" s="164">
        <f>IF(+I14&lt;F57,I14,D58)</f>
        <v>9231.9523809523816</v>
      </c>
      <c r="F58" s="163">
        <f t="shared" si="13"/>
        <v>25370.548427687841</v>
      </c>
      <c r="G58" s="165">
        <f t="shared" si="14"/>
        <v>12470.640282642007</v>
      </c>
      <c r="H58" s="147">
        <f t="shared" si="15"/>
        <v>12470.640282642007</v>
      </c>
      <c r="I58" s="160">
        <f t="shared" si="16"/>
        <v>0</v>
      </c>
      <c r="J58" s="160"/>
      <c r="K58" s="335"/>
      <c r="L58" s="162">
        <f t="shared" si="17"/>
        <v>0</v>
      </c>
      <c r="M58" s="335"/>
      <c r="N58" s="162">
        <f t="shared" si="18"/>
        <v>0</v>
      </c>
      <c r="O58" s="162">
        <f t="shared" si="19"/>
        <v>0</v>
      </c>
      <c r="P58" s="4"/>
    </row>
    <row r="59" spans="2:16">
      <c r="B59" s="9" t="str">
        <f t="shared" si="6"/>
        <v/>
      </c>
      <c r="C59" s="157">
        <f>IF(D11="","-",+C58+1)</f>
        <v>2048</v>
      </c>
      <c r="D59" s="163">
        <f>IF(F58+SUM(E$17:E58)=D$10,F58,D$10-SUM(E$17:E58))</f>
        <v>25370.548427687841</v>
      </c>
      <c r="E59" s="164">
        <f>IF(+I14&lt;F58,I14,D59)</f>
        <v>9231.9523809523816</v>
      </c>
      <c r="F59" s="163">
        <f t="shared" si="13"/>
        <v>16138.59604673546</v>
      </c>
      <c r="G59" s="165">
        <f t="shared" si="14"/>
        <v>11473.545325293933</v>
      </c>
      <c r="H59" s="147">
        <f t="shared" si="15"/>
        <v>11473.545325293933</v>
      </c>
      <c r="I59" s="160">
        <f t="shared" si="16"/>
        <v>0</v>
      </c>
      <c r="J59" s="160"/>
      <c r="K59" s="335"/>
      <c r="L59" s="162">
        <f t="shared" si="17"/>
        <v>0</v>
      </c>
      <c r="M59" s="335"/>
      <c r="N59" s="162">
        <f t="shared" si="18"/>
        <v>0</v>
      </c>
      <c r="O59" s="162">
        <f t="shared" si="19"/>
        <v>0</v>
      </c>
      <c r="P59" s="4"/>
    </row>
    <row r="60" spans="2:16">
      <c r="B60" s="9" t="str">
        <f t="shared" si="6"/>
        <v/>
      </c>
      <c r="C60" s="157">
        <f>IF(D11="","-",+C59+1)</f>
        <v>2049</v>
      </c>
      <c r="D60" s="163">
        <f>IF(F59+SUM(E$17:E59)=D$10,F59,D$10-SUM(E$17:E59))</f>
        <v>16138.59604673546</v>
      </c>
      <c r="E60" s="164">
        <f>IF(+I14&lt;F59,I14,D60)</f>
        <v>9231.9523809523816</v>
      </c>
      <c r="F60" s="163">
        <f t="shared" si="13"/>
        <v>6906.6436657830782</v>
      </c>
      <c r="G60" s="165">
        <f t="shared" si="14"/>
        <v>10476.450367945861</v>
      </c>
      <c r="H60" s="147">
        <f t="shared" si="15"/>
        <v>10476.450367945861</v>
      </c>
      <c r="I60" s="160">
        <f t="shared" si="16"/>
        <v>0</v>
      </c>
      <c r="J60" s="160"/>
      <c r="K60" s="335"/>
      <c r="L60" s="162">
        <f t="shared" si="17"/>
        <v>0</v>
      </c>
      <c r="M60" s="335"/>
      <c r="N60" s="162">
        <f t="shared" si="18"/>
        <v>0</v>
      </c>
      <c r="O60" s="162">
        <f t="shared" si="19"/>
        <v>0</v>
      </c>
      <c r="P60" s="4"/>
    </row>
    <row r="61" spans="2:16">
      <c r="B61" s="9" t="str">
        <f t="shared" si="6"/>
        <v/>
      </c>
      <c r="C61" s="157">
        <f>IF(D11="","-",+C60+1)</f>
        <v>2050</v>
      </c>
      <c r="D61" s="163">
        <f>IF(F60+SUM(E$17:E60)=D$10,F60,D$10-SUM(E$17:E60))</f>
        <v>6906.6436657830782</v>
      </c>
      <c r="E61" s="164">
        <f>IF(+I14&lt;F60,I14,D61)</f>
        <v>6906.6436657830782</v>
      </c>
      <c r="F61" s="163">
        <f t="shared" si="13"/>
        <v>0</v>
      </c>
      <c r="G61" s="165">
        <f t="shared" si="14"/>
        <v>7279.618919942799</v>
      </c>
      <c r="H61" s="147">
        <f t="shared" si="15"/>
        <v>7279.618919942799</v>
      </c>
      <c r="I61" s="160">
        <f t="shared" si="16"/>
        <v>0</v>
      </c>
      <c r="J61" s="160"/>
      <c r="K61" s="335"/>
      <c r="L61" s="162">
        <f t="shared" si="17"/>
        <v>0</v>
      </c>
      <c r="M61" s="335"/>
      <c r="N61" s="162">
        <f t="shared" si="18"/>
        <v>0</v>
      </c>
      <c r="O61" s="162">
        <f t="shared" si="19"/>
        <v>0</v>
      </c>
      <c r="P61" s="4"/>
    </row>
    <row r="62" spans="2:16">
      <c r="B62" s="9" t="str">
        <f t="shared" si="6"/>
        <v/>
      </c>
      <c r="C62" s="157">
        <f>IF(D11="","-",+C61+1)</f>
        <v>2051</v>
      </c>
      <c r="D62" s="163">
        <f>IF(F61+SUM(E$17:E61)=D$10,F61,D$10-SUM(E$17:E61))</f>
        <v>0</v>
      </c>
      <c r="E62" s="164">
        <f>IF(+I14&lt;F61,I14,D62)</f>
        <v>0</v>
      </c>
      <c r="F62" s="163">
        <f t="shared" si="13"/>
        <v>0</v>
      </c>
      <c r="G62" s="165">
        <f t="shared" si="14"/>
        <v>0</v>
      </c>
      <c r="H62" s="147">
        <f t="shared" si="15"/>
        <v>0</v>
      </c>
      <c r="I62" s="160">
        <f t="shared" si="16"/>
        <v>0</v>
      </c>
      <c r="J62" s="160"/>
      <c r="K62" s="335"/>
      <c r="L62" s="162">
        <f t="shared" si="17"/>
        <v>0</v>
      </c>
      <c r="M62" s="335"/>
      <c r="N62" s="162">
        <f t="shared" si="18"/>
        <v>0</v>
      </c>
      <c r="O62" s="162">
        <f t="shared" si="19"/>
        <v>0</v>
      </c>
      <c r="P62" s="4"/>
    </row>
    <row r="63" spans="2:16">
      <c r="B63" s="9" t="str">
        <f t="shared" si="6"/>
        <v/>
      </c>
      <c r="C63" s="157">
        <f>IF(D11="","-",+C62+1)</f>
        <v>2052</v>
      </c>
      <c r="D63" s="163">
        <f>IF(F62+SUM(E$17:E62)=D$10,F62,D$10-SUM(E$17:E62))</f>
        <v>0</v>
      </c>
      <c r="E63" s="164">
        <f>IF(+I14&lt;F62,I14,D63)</f>
        <v>0</v>
      </c>
      <c r="F63" s="163">
        <f t="shared" si="13"/>
        <v>0</v>
      </c>
      <c r="G63" s="165">
        <f t="shared" si="14"/>
        <v>0</v>
      </c>
      <c r="H63" s="147">
        <f t="shared" si="15"/>
        <v>0</v>
      </c>
      <c r="I63" s="160">
        <f t="shared" si="16"/>
        <v>0</v>
      </c>
      <c r="J63" s="160"/>
      <c r="K63" s="335"/>
      <c r="L63" s="162">
        <f t="shared" si="17"/>
        <v>0</v>
      </c>
      <c r="M63" s="335"/>
      <c r="N63" s="162">
        <f t="shared" si="18"/>
        <v>0</v>
      </c>
      <c r="O63" s="162">
        <f t="shared" si="19"/>
        <v>0</v>
      </c>
      <c r="P63" s="4"/>
    </row>
    <row r="64" spans="2:16">
      <c r="B64" s="9" t="str">
        <f t="shared" si="6"/>
        <v/>
      </c>
      <c r="C64" s="157">
        <f>IF(D11="","-",+C63+1)</f>
        <v>2053</v>
      </c>
      <c r="D64" s="163">
        <f>IF(F63+SUM(E$17:E63)=D$10,F63,D$10-SUM(E$17:E63))</f>
        <v>0</v>
      </c>
      <c r="E64" s="164">
        <f>IF(+I14&lt;F63,I14,D64)</f>
        <v>0</v>
      </c>
      <c r="F64" s="163">
        <f t="shared" si="13"/>
        <v>0</v>
      </c>
      <c r="G64" s="165">
        <f t="shared" si="14"/>
        <v>0</v>
      </c>
      <c r="H64" s="147">
        <f t="shared" si="15"/>
        <v>0</v>
      </c>
      <c r="I64" s="160">
        <f t="shared" si="16"/>
        <v>0</v>
      </c>
      <c r="J64" s="160"/>
      <c r="K64" s="335"/>
      <c r="L64" s="162">
        <f t="shared" si="17"/>
        <v>0</v>
      </c>
      <c r="M64" s="335"/>
      <c r="N64" s="162">
        <f t="shared" si="18"/>
        <v>0</v>
      </c>
      <c r="O64" s="162">
        <f t="shared" si="19"/>
        <v>0</v>
      </c>
      <c r="P64" s="4"/>
    </row>
    <row r="65" spans="2:16">
      <c r="B65" s="9" t="str">
        <f t="shared" si="6"/>
        <v/>
      </c>
      <c r="C65" s="157">
        <f>IF(D11="","-",+C64+1)</f>
        <v>2054</v>
      </c>
      <c r="D65" s="163">
        <f>IF(F64+SUM(E$17:E64)=D$10,F64,D$10-SUM(E$17:E64))</f>
        <v>0</v>
      </c>
      <c r="E65" s="164">
        <f>IF(+I14&lt;F64,I14,D65)</f>
        <v>0</v>
      </c>
      <c r="F65" s="163">
        <f t="shared" si="13"/>
        <v>0</v>
      </c>
      <c r="G65" s="165">
        <f t="shared" si="14"/>
        <v>0</v>
      </c>
      <c r="H65" s="147">
        <f t="shared" si="15"/>
        <v>0</v>
      </c>
      <c r="I65" s="160">
        <f t="shared" si="16"/>
        <v>0</v>
      </c>
      <c r="J65" s="160"/>
      <c r="K65" s="335"/>
      <c r="L65" s="162">
        <f t="shared" si="17"/>
        <v>0</v>
      </c>
      <c r="M65" s="335"/>
      <c r="N65" s="162">
        <f t="shared" si="18"/>
        <v>0</v>
      </c>
      <c r="O65" s="162">
        <f t="shared" si="19"/>
        <v>0</v>
      </c>
      <c r="P65" s="4"/>
    </row>
    <row r="66" spans="2:16">
      <c r="B66" s="9" t="str">
        <f t="shared" si="6"/>
        <v/>
      </c>
      <c r="C66" s="157">
        <f>IF(D11="","-",+C65+1)</f>
        <v>2055</v>
      </c>
      <c r="D66" s="163">
        <f>IF(F65+SUM(E$17:E65)=D$10,F65,D$10-SUM(E$17:E65))</f>
        <v>0</v>
      </c>
      <c r="E66" s="164">
        <f>IF(+I14&lt;F65,I14,D66)</f>
        <v>0</v>
      </c>
      <c r="F66" s="163">
        <f t="shared" si="13"/>
        <v>0</v>
      </c>
      <c r="G66" s="165">
        <f t="shared" si="14"/>
        <v>0</v>
      </c>
      <c r="H66" s="147">
        <f t="shared" si="15"/>
        <v>0</v>
      </c>
      <c r="I66" s="160">
        <f t="shared" si="16"/>
        <v>0</v>
      </c>
      <c r="J66" s="160"/>
      <c r="K66" s="335"/>
      <c r="L66" s="162">
        <f t="shared" si="17"/>
        <v>0</v>
      </c>
      <c r="M66" s="335"/>
      <c r="N66" s="162">
        <f t="shared" si="18"/>
        <v>0</v>
      </c>
      <c r="O66" s="162">
        <f t="shared" si="19"/>
        <v>0</v>
      </c>
      <c r="P66" s="4"/>
    </row>
    <row r="67" spans="2:16">
      <c r="B67" s="9" t="str">
        <f t="shared" si="6"/>
        <v/>
      </c>
      <c r="C67" s="157">
        <f>IF(D11="","-",+C66+1)</f>
        <v>2056</v>
      </c>
      <c r="D67" s="163">
        <f>IF(F66+SUM(E$17:E66)=D$10,F66,D$10-SUM(E$17:E66))</f>
        <v>0</v>
      </c>
      <c r="E67" s="164">
        <f>IF(+I14&lt;F66,I14,D67)</f>
        <v>0</v>
      </c>
      <c r="F67" s="163">
        <f t="shared" si="13"/>
        <v>0</v>
      </c>
      <c r="G67" s="165">
        <f t="shared" si="14"/>
        <v>0</v>
      </c>
      <c r="H67" s="147">
        <f t="shared" si="15"/>
        <v>0</v>
      </c>
      <c r="I67" s="160">
        <f t="shared" si="16"/>
        <v>0</v>
      </c>
      <c r="J67" s="160"/>
      <c r="K67" s="335"/>
      <c r="L67" s="162">
        <f t="shared" si="17"/>
        <v>0</v>
      </c>
      <c r="M67" s="335"/>
      <c r="N67" s="162">
        <f t="shared" si="18"/>
        <v>0</v>
      </c>
      <c r="O67" s="162">
        <f t="shared" si="19"/>
        <v>0</v>
      </c>
      <c r="P67" s="4"/>
    </row>
    <row r="68" spans="2:16">
      <c r="B68" s="9" t="str">
        <f t="shared" si="6"/>
        <v/>
      </c>
      <c r="C68" s="157">
        <f>IF(D11="","-",+C67+1)</f>
        <v>2057</v>
      </c>
      <c r="D68" s="163">
        <f>IF(F67+SUM(E$17:E67)=D$10,F67,D$10-SUM(E$17:E67))</f>
        <v>0</v>
      </c>
      <c r="E68" s="164">
        <f>IF(+I14&lt;F67,I14,D68)</f>
        <v>0</v>
      </c>
      <c r="F68" s="163">
        <f t="shared" si="13"/>
        <v>0</v>
      </c>
      <c r="G68" s="165">
        <f t="shared" si="14"/>
        <v>0</v>
      </c>
      <c r="H68" s="147">
        <f t="shared" si="15"/>
        <v>0</v>
      </c>
      <c r="I68" s="160">
        <f t="shared" si="16"/>
        <v>0</v>
      </c>
      <c r="J68" s="160"/>
      <c r="K68" s="335"/>
      <c r="L68" s="162">
        <f t="shared" si="17"/>
        <v>0</v>
      </c>
      <c r="M68" s="335"/>
      <c r="N68" s="162">
        <f t="shared" si="18"/>
        <v>0</v>
      </c>
      <c r="O68" s="162">
        <f t="shared" si="19"/>
        <v>0</v>
      </c>
      <c r="P68" s="4"/>
    </row>
    <row r="69" spans="2:16">
      <c r="B69" s="9" t="str">
        <f t="shared" si="6"/>
        <v/>
      </c>
      <c r="C69" s="157">
        <f>IF(D11="","-",+C68+1)</f>
        <v>2058</v>
      </c>
      <c r="D69" s="163">
        <f>IF(F68+SUM(E$17:E68)=D$10,F68,D$10-SUM(E$17:E68))</f>
        <v>0</v>
      </c>
      <c r="E69" s="164">
        <f>IF(+I14&lt;F68,I14,D69)</f>
        <v>0</v>
      </c>
      <c r="F69" s="163">
        <f t="shared" si="13"/>
        <v>0</v>
      </c>
      <c r="G69" s="165">
        <f t="shared" si="14"/>
        <v>0</v>
      </c>
      <c r="H69" s="147">
        <f t="shared" si="15"/>
        <v>0</v>
      </c>
      <c r="I69" s="160">
        <f t="shared" si="16"/>
        <v>0</v>
      </c>
      <c r="J69" s="160"/>
      <c r="K69" s="335"/>
      <c r="L69" s="162">
        <f t="shared" si="17"/>
        <v>0</v>
      </c>
      <c r="M69" s="335"/>
      <c r="N69" s="162">
        <f t="shared" si="18"/>
        <v>0</v>
      </c>
      <c r="O69" s="162">
        <f t="shared" si="19"/>
        <v>0</v>
      </c>
      <c r="P69" s="4"/>
    </row>
    <row r="70" spans="2:16">
      <c r="B70" s="9" t="str">
        <f t="shared" si="6"/>
        <v/>
      </c>
      <c r="C70" s="157">
        <f>IF(D11="","-",+C69+1)</f>
        <v>2059</v>
      </c>
      <c r="D70" s="163">
        <f>IF(F69+SUM(E$17:E69)=D$10,F69,D$10-SUM(E$17:E69))</f>
        <v>0</v>
      </c>
      <c r="E70" s="164">
        <f>IF(+I14&lt;F69,I14,D70)</f>
        <v>0</v>
      </c>
      <c r="F70" s="163">
        <f t="shared" si="13"/>
        <v>0</v>
      </c>
      <c r="G70" s="165">
        <f t="shared" si="14"/>
        <v>0</v>
      </c>
      <c r="H70" s="147">
        <f t="shared" si="15"/>
        <v>0</v>
      </c>
      <c r="I70" s="160">
        <f t="shared" si="16"/>
        <v>0</v>
      </c>
      <c r="J70" s="160"/>
      <c r="K70" s="335"/>
      <c r="L70" s="162">
        <f t="shared" si="17"/>
        <v>0</v>
      </c>
      <c r="M70" s="335"/>
      <c r="N70" s="162">
        <f t="shared" si="18"/>
        <v>0</v>
      </c>
      <c r="O70" s="162">
        <f t="shared" si="19"/>
        <v>0</v>
      </c>
      <c r="P70" s="4"/>
    </row>
    <row r="71" spans="2:16">
      <c r="B71" s="9" t="str">
        <f t="shared" si="6"/>
        <v/>
      </c>
      <c r="C71" s="157">
        <f>IF(D11="","-",+C70+1)</f>
        <v>2060</v>
      </c>
      <c r="D71" s="163">
        <f>IF(F70+SUM(E$17:E70)=D$10,F70,D$10-SUM(E$17:E70))</f>
        <v>0</v>
      </c>
      <c r="E71" s="164">
        <f>IF(+I14&lt;F70,I14,D71)</f>
        <v>0</v>
      </c>
      <c r="F71" s="163">
        <f t="shared" si="13"/>
        <v>0</v>
      </c>
      <c r="G71" s="165">
        <f t="shared" si="14"/>
        <v>0</v>
      </c>
      <c r="H71" s="147">
        <f t="shared" si="15"/>
        <v>0</v>
      </c>
      <c r="I71" s="160">
        <f t="shared" si="16"/>
        <v>0</v>
      </c>
      <c r="J71" s="160"/>
      <c r="K71" s="335"/>
      <c r="L71" s="162">
        <f t="shared" si="17"/>
        <v>0</v>
      </c>
      <c r="M71" s="335"/>
      <c r="N71" s="162">
        <f t="shared" si="18"/>
        <v>0</v>
      </c>
      <c r="O71" s="162">
        <f t="shared" si="19"/>
        <v>0</v>
      </c>
      <c r="P71" s="4"/>
    </row>
    <row r="72" spans="2:16" ht="13.5" thickBot="1">
      <c r="B72" s="9" t="str">
        <f t="shared" si="6"/>
        <v/>
      </c>
      <c r="C72" s="168">
        <f>IF(D11="","-",+C71+1)</f>
        <v>2061</v>
      </c>
      <c r="D72" s="169">
        <f>IF(F71+SUM(E$17:E71)=D$10,F71,D$10-SUM(E$17:E71))</f>
        <v>0</v>
      </c>
      <c r="E72" s="170">
        <f>IF(+I14&lt;F71,I14,D72)</f>
        <v>0</v>
      </c>
      <c r="F72" s="169">
        <f t="shared" si="13"/>
        <v>0</v>
      </c>
      <c r="G72" s="169">
        <f t="shared" si="14"/>
        <v>0</v>
      </c>
      <c r="H72" s="169">
        <f t="shared" si="15"/>
        <v>0</v>
      </c>
      <c r="I72" s="172">
        <f t="shared" si="16"/>
        <v>0</v>
      </c>
      <c r="J72" s="160"/>
      <c r="K72" s="336"/>
      <c r="L72" s="173">
        <f t="shared" si="17"/>
        <v>0</v>
      </c>
      <c r="M72" s="336"/>
      <c r="N72" s="173">
        <f t="shared" si="18"/>
        <v>0</v>
      </c>
      <c r="O72" s="173">
        <f t="shared" si="19"/>
        <v>0</v>
      </c>
      <c r="P72" s="4"/>
    </row>
    <row r="73" spans="2:16">
      <c r="C73" s="158" t="s">
        <v>72</v>
      </c>
      <c r="D73" s="115"/>
      <c r="E73" s="115">
        <f>SUM(E17:E72)</f>
        <v>387741.99999999977</v>
      </c>
      <c r="F73" s="115"/>
      <c r="G73" s="115">
        <f>SUM(G17:G72)</f>
        <v>1462889.8684163957</v>
      </c>
      <c r="H73" s="115">
        <f>SUM(H17:H72)</f>
        <v>1462889.8684163957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4" t="str">
        <f ca="1">P1</f>
        <v>PSO Project 5 of 28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2018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48199.620253747162</v>
      </c>
      <c r="N87" s="202">
        <f>IF(J92&lt;D11,0,VLOOKUP(J92,C17:O72,11))</f>
        <v>48199.620253747162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39410.649664559314</v>
      </c>
      <c r="N88" s="204">
        <f>IF(J92&lt;D11,0,VLOOKUP(J92,C99:P154,7))</f>
        <v>39410.649664559314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Catoosa 138 kV Device (Cap. Bank)</v>
      </c>
      <c r="E89" s="1"/>
      <c r="F89" s="1"/>
      <c r="G89" s="1">
        <v>387742</v>
      </c>
      <c r="H89" s="1"/>
      <c r="I89" s="3"/>
      <c r="J89" s="3"/>
      <c r="K89" s="268"/>
      <c r="L89" s="269" t="s">
        <v>151</v>
      </c>
      <c r="M89" s="207">
        <f>+M88-M87</f>
        <v>-8788.9705891878475</v>
      </c>
      <c r="N89" s="207">
        <f>+N88-N87</f>
        <v>-8788.9705891878475</v>
      </c>
      <c r="O89" s="208">
        <f>+O88-O87</f>
        <v>0</v>
      </c>
      <c r="P89" s="1"/>
    </row>
    <row r="90" spans="1:16" ht="13.5" thickBot="1">
      <c r="C90" s="174"/>
      <c r="D90" s="177">
        <f>D8</f>
        <v>0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 t="str">
        <f>+D9</f>
        <v>TP2005006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138">
        <v>387742</v>
      </c>
      <c r="E92" s="22" t="s">
        <v>89</v>
      </c>
      <c r="H92" s="139"/>
      <c r="I92" s="139"/>
      <c r="J92" s="140">
        <f>+'PSO.WS.G.BPU.ATRR.True-up'!M16</f>
        <v>2018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2006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5</v>
      </c>
      <c r="E94" s="141" t="s">
        <v>51</v>
      </c>
      <c r="F94" s="139"/>
      <c r="G94" s="139"/>
      <c r="J94" s="145">
        <f>'PSO.WS.G.BPU.ATRR.True-up'!$F$81</f>
        <v>0.10273556682691798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43</v>
      </c>
      <c r="E95" s="141" t="s">
        <v>54</v>
      </c>
      <c r="F95" s="139"/>
      <c r="G95" s="139"/>
      <c r="J95" s="145">
        <f>IF(H87="",J94,'PSO.WS.G.BPU.ATRR.True-up'!$F$80)</f>
        <v>0.10273556682691798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9017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96</v>
      </c>
      <c r="H97" s="363" t="s">
        <v>277</v>
      </c>
      <c r="I97" s="339" t="s">
        <v>278</v>
      </c>
      <c r="J97" s="214" t="s">
        <v>93</v>
      </c>
      <c r="K97" s="216"/>
      <c r="L97" s="339" t="s">
        <v>203</v>
      </c>
      <c r="M97" s="151" t="s">
        <v>94</v>
      </c>
      <c r="N97" s="339" t="s">
        <v>203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2006</v>
      </c>
      <c r="D99" s="366">
        <f>IF(D93=C99,0,D92)</f>
        <v>0</v>
      </c>
      <c r="E99" s="368">
        <v>3801</v>
      </c>
      <c r="F99" s="371">
        <v>383941</v>
      </c>
      <c r="G99" s="373">
        <v>385841</v>
      </c>
      <c r="H99" s="374">
        <v>0</v>
      </c>
      <c r="I99" s="375">
        <v>0</v>
      </c>
      <c r="J99" s="162">
        <f t="shared" ref="J99:J130" si="20">+I99-H99</f>
        <v>0</v>
      </c>
      <c r="K99" s="162"/>
      <c r="L99" s="337">
        <v>0</v>
      </c>
      <c r="M99" s="176">
        <f>IF(L99&lt;&gt;0,+H99-L99,0)</f>
        <v>0</v>
      </c>
      <c r="N99" s="337">
        <v>0</v>
      </c>
      <c r="O99" s="161">
        <f>IF(N99&lt;&gt;0,+I99-N99,0)</f>
        <v>0</v>
      </c>
      <c r="P99" s="161">
        <f t="shared" ref="P99:P130" si="21">+O99-M99</f>
        <v>0</v>
      </c>
    </row>
    <row r="100" spans="1:16">
      <c r="B100" s="9" t="str">
        <f t="shared" ref="B100:B154" si="22">IF(D100=F99,"","IU")</f>
        <v/>
      </c>
      <c r="C100" s="157">
        <f>IF(D93="","-",+C99+1)</f>
        <v>2007</v>
      </c>
      <c r="D100" s="366">
        <v>383941</v>
      </c>
      <c r="E100" s="372">
        <v>7603</v>
      </c>
      <c r="F100" s="371">
        <v>376338</v>
      </c>
      <c r="G100" s="371">
        <v>380140</v>
      </c>
      <c r="H100" s="368">
        <v>66528</v>
      </c>
      <c r="I100" s="370">
        <v>66528</v>
      </c>
      <c r="J100" s="162">
        <f t="shared" si="20"/>
        <v>0</v>
      </c>
      <c r="K100" s="162"/>
      <c r="L100" s="338">
        <v>0</v>
      </c>
      <c r="M100" s="272">
        <f>IF(L100&lt;&gt;0,+H100-L100,0)</f>
        <v>0</v>
      </c>
      <c r="N100" s="338">
        <v>0</v>
      </c>
      <c r="O100" s="162">
        <f>IF(N100&lt;&gt;0,+I100-N100,0)</f>
        <v>0</v>
      </c>
      <c r="P100" s="162">
        <f t="shared" si="21"/>
        <v>0</v>
      </c>
    </row>
    <row r="101" spans="1:16">
      <c r="B101" s="9"/>
      <c r="C101" s="157">
        <f>IF(D93="","-",+C100+1)</f>
        <v>2008</v>
      </c>
      <c r="D101" s="366">
        <v>376159</v>
      </c>
      <c r="E101" s="372">
        <v>7316</v>
      </c>
      <c r="F101" s="371">
        <v>368843</v>
      </c>
      <c r="G101" s="371">
        <v>372501</v>
      </c>
      <c r="H101" s="368">
        <v>66486</v>
      </c>
      <c r="I101" s="370">
        <v>66486</v>
      </c>
      <c r="J101" s="162">
        <f t="shared" si="20"/>
        <v>0</v>
      </c>
      <c r="K101" s="162"/>
      <c r="L101" s="338">
        <v>66486</v>
      </c>
      <c r="M101" s="162">
        <f>IF(L101&lt;&gt;"",+H101-L101,0)</f>
        <v>0</v>
      </c>
      <c r="N101" s="338">
        <v>66486</v>
      </c>
      <c r="O101" s="162">
        <f>IF(N101&lt;&gt;"",+I101-N101,0)</f>
        <v>0</v>
      </c>
      <c r="P101" s="162">
        <f t="shared" si="21"/>
        <v>0</v>
      </c>
    </row>
    <row r="102" spans="1:16">
      <c r="B102" s="9"/>
      <c r="C102" s="157">
        <f>IF(D93="","-",+C101+1)</f>
        <v>2009</v>
      </c>
      <c r="D102" s="366">
        <v>369022</v>
      </c>
      <c r="E102" s="368">
        <v>6924</v>
      </c>
      <c r="F102" s="371">
        <v>362098</v>
      </c>
      <c r="G102" s="371">
        <v>365560</v>
      </c>
      <c r="H102" s="368">
        <v>60371.899487403767</v>
      </c>
      <c r="I102" s="370">
        <v>60371.899487403767</v>
      </c>
      <c r="J102" s="162">
        <f t="shared" si="20"/>
        <v>0</v>
      </c>
      <c r="K102" s="162"/>
      <c r="L102" s="338">
        <f t="shared" ref="L102:L107" si="23">H102</f>
        <v>60371.899487403767</v>
      </c>
      <c r="M102" s="272">
        <f t="shared" ref="M102:M133" si="24">IF(L102&lt;&gt;0,+H102-L102,0)</f>
        <v>0</v>
      </c>
      <c r="N102" s="338">
        <f t="shared" ref="N102:N107" si="25">I102</f>
        <v>60371.899487403767</v>
      </c>
      <c r="O102" s="162">
        <f t="shared" ref="O102:O133" si="26">IF(N102&lt;&gt;0,+I102-N102,0)</f>
        <v>0</v>
      </c>
      <c r="P102" s="162">
        <f t="shared" si="21"/>
        <v>0</v>
      </c>
    </row>
    <row r="103" spans="1:16">
      <c r="B103" s="9" t="str">
        <f t="shared" si="22"/>
        <v/>
      </c>
      <c r="C103" s="157">
        <f>IF(D93="","-",+C102+1)</f>
        <v>2010</v>
      </c>
      <c r="D103" s="366">
        <v>362098</v>
      </c>
      <c r="E103" s="368">
        <v>7603</v>
      </c>
      <c r="F103" s="371">
        <v>354495</v>
      </c>
      <c r="G103" s="371">
        <v>358296.5</v>
      </c>
      <c r="H103" s="368">
        <v>65222.531099646738</v>
      </c>
      <c r="I103" s="370">
        <v>65222.531099646738</v>
      </c>
      <c r="J103" s="162">
        <f t="shared" si="20"/>
        <v>0</v>
      </c>
      <c r="K103" s="162"/>
      <c r="L103" s="380">
        <f t="shared" si="23"/>
        <v>65222.531099646738</v>
      </c>
      <c r="M103" s="381">
        <f t="shared" si="24"/>
        <v>0</v>
      </c>
      <c r="N103" s="380">
        <f t="shared" si="25"/>
        <v>65222.531099646738</v>
      </c>
      <c r="O103" s="162">
        <f t="shared" si="26"/>
        <v>0</v>
      </c>
      <c r="P103" s="162">
        <f t="shared" si="21"/>
        <v>0</v>
      </c>
    </row>
    <row r="104" spans="1:16">
      <c r="B104" s="9" t="str">
        <f t="shared" si="22"/>
        <v/>
      </c>
      <c r="C104" s="157">
        <f>IF(D93="","-",+C103+1)</f>
        <v>2011</v>
      </c>
      <c r="D104" s="366">
        <v>354495</v>
      </c>
      <c r="E104" s="368">
        <v>7457</v>
      </c>
      <c r="F104" s="371">
        <v>347038</v>
      </c>
      <c r="G104" s="371">
        <v>350766.5</v>
      </c>
      <c r="H104" s="368">
        <v>56498.870276795831</v>
      </c>
      <c r="I104" s="370">
        <v>56498.870276795831</v>
      </c>
      <c r="J104" s="162">
        <f t="shared" si="20"/>
        <v>0</v>
      </c>
      <c r="K104" s="162"/>
      <c r="L104" s="380">
        <f t="shared" si="23"/>
        <v>56498.870276795831</v>
      </c>
      <c r="M104" s="381">
        <f t="shared" si="24"/>
        <v>0</v>
      </c>
      <c r="N104" s="380">
        <f t="shared" si="25"/>
        <v>56498.870276795831</v>
      </c>
      <c r="O104" s="162">
        <f t="shared" si="26"/>
        <v>0</v>
      </c>
      <c r="P104" s="162">
        <f t="shared" si="21"/>
        <v>0</v>
      </c>
    </row>
    <row r="105" spans="1:16">
      <c r="B105" s="9" t="str">
        <f t="shared" si="22"/>
        <v/>
      </c>
      <c r="C105" s="157">
        <f>IF(D93="","-",+C104+1)</f>
        <v>2012</v>
      </c>
      <c r="D105" s="366">
        <v>347038</v>
      </c>
      <c r="E105" s="368">
        <v>7457</v>
      </c>
      <c r="F105" s="371">
        <v>339581</v>
      </c>
      <c r="G105" s="371">
        <v>343309.5</v>
      </c>
      <c r="H105" s="368">
        <v>56843.953528154576</v>
      </c>
      <c r="I105" s="370">
        <v>56843.953528154576</v>
      </c>
      <c r="J105" s="162">
        <v>0</v>
      </c>
      <c r="K105" s="162"/>
      <c r="L105" s="380">
        <f t="shared" si="23"/>
        <v>56843.953528154576</v>
      </c>
      <c r="M105" s="381">
        <f t="shared" ref="M105:M110" si="27">IF(L105&lt;&gt;0,+H105-L105,0)</f>
        <v>0</v>
      </c>
      <c r="N105" s="380">
        <f t="shared" si="25"/>
        <v>56843.953528154576</v>
      </c>
      <c r="O105" s="162">
        <f t="shared" ref="O105:O110" si="28">IF(N105&lt;&gt;0,+I105-N105,0)</f>
        <v>0</v>
      </c>
      <c r="P105" s="162">
        <f t="shared" ref="P105:P110" si="29">+O105-M105</f>
        <v>0</v>
      </c>
    </row>
    <row r="106" spans="1:16">
      <c r="B106" s="9" t="str">
        <f t="shared" si="22"/>
        <v/>
      </c>
      <c r="C106" s="157">
        <f>IF(D93="","-",+C105+1)</f>
        <v>2013</v>
      </c>
      <c r="D106" s="366">
        <v>339581</v>
      </c>
      <c r="E106" s="368">
        <v>7457</v>
      </c>
      <c r="F106" s="371">
        <v>332124</v>
      </c>
      <c r="G106" s="371">
        <v>335852.5</v>
      </c>
      <c r="H106" s="368">
        <v>55799.472473591821</v>
      </c>
      <c r="I106" s="370">
        <v>55799.472473591821</v>
      </c>
      <c r="J106" s="162">
        <v>0</v>
      </c>
      <c r="K106" s="162"/>
      <c r="L106" s="380">
        <f t="shared" si="23"/>
        <v>55799.472473591821</v>
      </c>
      <c r="M106" s="381">
        <f t="shared" si="27"/>
        <v>0</v>
      </c>
      <c r="N106" s="380">
        <f t="shared" si="25"/>
        <v>55799.472473591821</v>
      </c>
      <c r="O106" s="162">
        <f t="shared" si="28"/>
        <v>0</v>
      </c>
      <c r="P106" s="162">
        <f t="shared" si="29"/>
        <v>0</v>
      </c>
    </row>
    <row r="107" spans="1:16">
      <c r="B107" s="9" t="str">
        <f t="shared" si="22"/>
        <v/>
      </c>
      <c r="C107" s="157">
        <f>IF(D93="","-",+C106+1)</f>
        <v>2014</v>
      </c>
      <c r="D107" s="366">
        <v>332124</v>
      </c>
      <c r="E107" s="368">
        <v>7457</v>
      </c>
      <c r="F107" s="371">
        <v>324667</v>
      </c>
      <c r="G107" s="371">
        <v>328395.5</v>
      </c>
      <c r="H107" s="368">
        <v>53628.064898886892</v>
      </c>
      <c r="I107" s="370">
        <v>53628.064898886892</v>
      </c>
      <c r="J107" s="162">
        <v>0</v>
      </c>
      <c r="K107" s="162"/>
      <c r="L107" s="380">
        <f t="shared" si="23"/>
        <v>53628.064898886892</v>
      </c>
      <c r="M107" s="381">
        <f t="shared" si="27"/>
        <v>0</v>
      </c>
      <c r="N107" s="380">
        <f t="shared" si="25"/>
        <v>53628.064898886892</v>
      </c>
      <c r="O107" s="162">
        <f t="shared" si="28"/>
        <v>0</v>
      </c>
      <c r="P107" s="162">
        <f t="shared" si="29"/>
        <v>0</v>
      </c>
    </row>
    <row r="108" spans="1:16">
      <c r="B108" s="9" t="str">
        <f t="shared" si="22"/>
        <v/>
      </c>
      <c r="C108" s="157">
        <f>IF(D93="","-",+C107+1)</f>
        <v>2015</v>
      </c>
      <c r="D108" s="366">
        <v>324667</v>
      </c>
      <c r="E108" s="368">
        <v>7457</v>
      </c>
      <c r="F108" s="371">
        <v>317210</v>
      </c>
      <c r="G108" s="371">
        <v>320938.5</v>
      </c>
      <c r="H108" s="368">
        <v>51246.477852296055</v>
      </c>
      <c r="I108" s="370">
        <v>51246.477852296055</v>
      </c>
      <c r="J108" s="162">
        <f t="shared" si="20"/>
        <v>0</v>
      </c>
      <c r="K108" s="162"/>
      <c r="L108" s="380">
        <f>H108</f>
        <v>51246.477852296055</v>
      </c>
      <c r="M108" s="381">
        <f t="shared" si="27"/>
        <v>0</v>
      </c>
      <c r="N108" s="380">
        <f>I108</f>
        <v>51246.477852296055</v>
      </c>
      <c r="O108" s="162">
        <f t="shared" si="28"/>
        <v>0</v>
      </c>
      <c r="P108" s="162">
        <f t="shared" si="29"/>
        <v>0</v>
      </c>
    </row>
    <row r="109" spans="1:16">
      <c r="B109" s="9" t="str">
        <f t="shared" si="22"/>
        <v/>
      </c>
      <c r="C109" s="157">
        <f>IF(D93="","-",+C108+1)</f>
        <v>2016</v>
      </c>
      <c r="D109" s="366">
        <v>317210</v>
      </c>
      <c r="E109" s="368">
        <v>8429</v>
      </c>
      <c r="F109" s="371">
        <v>308781</v>
      </c>
      <c r="G109" s="371">
        <v>312995.5</v>
      </c>
      <c r="H109" s="368">
        <v>48779.04927680167</v>
      </c>
      <c r="I109" s="370">
        <v>48779.04927680167</v>
      </c>
      <c r="J109" s="162">
        <v>0</v>
      </c>
      <c r="K109" s="162"/>
      <c r="L109" s="380">
        <f>H109</f>
        <v>48779.04927680167</v>
      </c>
      <c r="M109" s="381">
        <f t="shared" si="27"/>
        <v>0</v>
      </c>
      <c r="N109" s="380">
        <f>I109</f>
        <v>48779.04927680167</v>
      </c>
      <c r="O109" s="162">
        <f t="shared" si="28"/>
        <v>0</v>
      </c>
      <c r="P109" s="162">
        <f t="shared" si="29"/>
        <v>0</v>
      </c>
    </row>
    <row r="110" spans="1:16">
      <c r="B110" s="9" t="str">
        <f t="shared" si="22"/>
        <v/>
      </c>
      <c r="C110" s="157">
        <f>IF(D93="","-",+C109+1)</f>
        <v>2017</v>
      </c>
      <c r="D110" s="366">
        <v>308781</v>
      </c>
      <c r="E110" s="368">
        <v>8429</v>
      </c>
      <c r="F110" s="371">
        <v>300352</v>
      </c>
      <c r="G110" s="371">
        <v>304566.5</v>
      </c>
      <c r="H110" s="368">
        <v>47064.028489702585</v>
      </c>
      <c r="I110" s="370">
        <v>47064.028489702585</v>
      </c>
      <c r="J110" s="162">
        <f t="shared" si="20"/>
        <v>0</v>
      </c>
      <c r="K110" s="162"/>
      <c r="L110" s="380">
        <f>H110</f>
        <v>47064.028489702585</v>
      </c>
      <c r="M110" s="381">
        <f t="shared" si="27"/>
        <v>0</v>
      </c>
      <c r="N110" s="380">
        <f>I110</f>
        <v>47064.028489702585</v>
      </c>
      <c r="O110" s="162">
        <f t="shared" si="28"/>
        <v>0</v>
      </c>
      <c r="P110" s="162">
        <f t="shared" si="29"/>
        <v>0</v>
      </c>
    </row>
    <row r="111" spans="1:16">
      <c r="B111" s="9" t="str">
        <f t="shared" si="22"/>
        <v/>
      </c>
      <c r="C111" s="157">
        <f>IF(D93="","-",+C110+1)</f>
        <v>2018</v>
      </c>
      <c r="D111" s="158">
        <f>IF(F110+SUM(E$99:E110)=D$92,F110,D$92-SUM(E$99:E110))</f>
        <v>300352</v>
      </c>
      <c r="E111" s="165">
        <f>IF(+J96&lt;F110,J96,D111)</f>
        <v>9017</v>
      </c>
      <c r="F111" s="163">
        <f t="shared" ref="F111:F130" si="30">+D111-E111</f>
        <v>291335</v>
      </c>
      <c r="G111" s="163">
        <f t="shared" ref="G111:G130" si="31">+(F111+D111)/2</f>
        <v>295843.5</v>
      </c>
      <c r="H111" s="167">
        <f t="shared" ref="H111:H154" si="32">+J$94*G111+E111</f>
        <v>39410.649664559314</v>
      </c>
      <c r="I111" s="317">
        <f t="shared" ref="I111:I154" si="33">+J$95*G111+E111</f>
        <v>39410.649664559314</v>
      </c>
      <c r="J111" s="162">
        <f t="shared" si="20"/>
        <v>0</v>
      </c>
      <c r="K111" s="162"/>
      <c r="L111" s="335"/>
      <c r="M111" s="162">
        <f t="shared" si="24"/>
        <v>0</v>
      </c>
      <c r="N111" s="335"/>
      <c r="O111" s="162">
        <f t="shared" si="26"/>
        <v>0</v>
      </c>
      <c r="P111" s="162">
        <f t="shared" si="21"/>
        <v>0</v>
      </c>
    </row>
    <row r="112" spans="1:16">
      <c r="B112" s="9" t="str">
        <f t="shared" si="22"/>
        <v/>
      </c>
      <c r="C112" s="157">
        <f>IF(D93="","-",+C111+1)</f>
        <v>2019</v>
      </c>
      <c r="D112" s="158">
        <f>IF(F111+SUM(E$99:E111)=D$92,F111,D$92-SUM(E$99:E111))</f>
        <v>291335</v>
      </c>
      <c r="E112" s="165">
        <f>IF(+J96&lt;F111,J96,D112)</f>
        <v>9017</v>
      </c>
      <c r="F112" s="163">
        <f t="shared" si="30"/>
        <v>282318</v>
      </c>
      <c r="G112" s="163">
        <f t="shared" si="31"/>
        <v>286826.5</v>
      </c>
      <c r="H112" s="167">
        <f t="shared" si="32"/>
        <v>38484.283058480985</v>
      </c>
      <c r="I112" s="317">
        <f t="shared" si="33"/>
        <v>38484.283058480985</v>
      </c>
      <c r="J112" s="162">
        <f t="shared" si="20"/>
        <v>0</v>
      </c>
      <c r="K112" s="162"/>
      <c r="L112" s="335"/>
      <c r="M112" s="162">
        <f t="shared" si="24"/>
        <v>0</v>
      </c>
      <c r="N112" s="335"/>
      <c r="O112" s="162">
        <f t="shared" si="26"/>
        <v>0</v>
      </c>
      <c r="P112" s="162">
        <f t="shared" si="21"/>
        <v>0</v>
      </c>
    </row>
    <row r="113" spans="2:16">
      <c r="B113" s="9" t="str">
        <f t="shared" si="22"/>
        <v/>
      </c>
      <c r="C113" s="157">
        <f>IF(D93="","-",+C112+1)</f>
        <v>2020</v>
      </c>
      <c r="D113" s="158">
        <f>IF(F112+SUM(E$99:E112)=D$92,F112,D$92-SUM(E$99:E112))</f>
        <v>282318</v>
      </c>
      <c r="E113" s="165">
        <f>IF(+J96&lt;F112,J96,D113)</f>
        <v>9017</v>
      </c>
      <c r="F113" s="163">
        <f t="shared" si="30"/>
        <v>273301</v>
      </c>
      <c r="G113" s="163">
        <f t="shared" si="31"/>
        <v>277809.5</v>
      </c>
      <c r="H113" s="167">
        <f t="shared" si="32"/>
        <v>37557.916452402671</v>
      </c>
      <c r="I113" s="317">
        <f t="shared" si="33"/>
        <v>37557.916452402671</v>
      </c>
      <c r="J113" s="162">
        <f t="shared" si="20"/>
        <v>0</v>
      </c>
      <c r="K113" s="162"/>
      <c r="L113" s="335"/>
      <c r="M113" s="162">
        <f t="shared" si="24"/>
        <v>0</v>
      </c>
      <c r="N113" s="335"/>
      <c r="O113" s="162">
        <f t="shared" si="26"/>
        <v>0</v>
      </c>
      <c r="P113" s="162">
        <f t="shared" si="21"/>
        <v>0</v>
      </c>
    </row>
    <row r="114" spans="2:16">
      <c r="B114" s="9" t="str">
        <f t="shared" si="22"/>
        <v/>
      </c>
      <c r="C114" s="157">
        <f>IF(D93="","-",+C113+1)</f>
        <v>2021</v>
      </c>
      <c r="D114" s="158">
        <f>IF(F113+SUM(E$99:E113)=D$92,F113,D$92-SUM(E$99:E113))</f>
        <v>273301</v>
      </c>
      <c r="E114" s="165">
        <f>IF(+J96&lt;F113,J96,D114)</f>
        <v>9017</v>
      </c>
      <c r="F114" s="163">
        <f t="shared" si="30"/>
        <v>264284</v>
      </c>
      <c r="G114" s="163">
        <f t="shared" si="31"/>
        <v>268792.5</v>
      </c>
      <c r="H114" s="167">
        <f t="shared" si="32"/>
        <v>36631.549846324349</v>
      </c>
      <c r="I114" s="317">
        <f t="shared" si="33"/>
        <v>36631.549846324349</v>
      </c>
      <c r="J114" s="162">
        <f t="shared" si="20"/>
        <v>0</v>
      </c>
      <c r="K114" s="162"/>
      <c r="L114" s="335"/>
      <c r="M114" s="162">
        <f t="shared" si="24"/>
        <v>0</v>
      </c>
      <c r="N114" s="335"/>
      <c r="O114" s="162">
        <f t="shared" si="26"/>
        <v>0</v>
      </c>
      <c r="P114" s="162">
        <f t="shared" si="21"/>
        <v>0</v>
      </c>
    </row>
    <row r="115" spans="2:16">
      <c r="B115" s="9" t="str">
        <f t="shared" si="22"/>
        <v/>
      </c>
      <c r="C115" s="157">
        <f>IF(D93="","-",+C114+1)</f>
        <v>2022</v>
      </c>
      <c r="D115" s="158">
        <f>IF(F114+SUM(E$99:E114)=D$92,F114,D$92-SUM(E$99:E114))</f>
        <v>264284</v>
      </c>
      <c r="E115" s="165">
        <f>IF(+J96&lt;F114,J96,D115)</f>
        <v>9017</v>
      </c>
      <c r="F115" s="163">
        <f t="shared" si="30"/>
        <v>255267</v>
      </c>
      <c r="G115" s="163">
        <f t="shared" si="31"/>
        <v>259775.5</v>
      </c>
      <c r="H115" s="167">
        <f t="shared" si="32"/>
        <v>35705.183240246028</v>
      </c>
      <c r="I115" s="317">
        <f t="shared" si="33"/>
        <v>35705.183240246028</v>
      </c>
      <c r="J115" s="162">
        <f t="shared" si="20"/>
        <v>0</v>
      </c>
      <c r="K115" s="162"/>
      <c r="L115" s="335"/>
      <c r="M115" s="162">
        <f t="shared" si="24"/>
        <v>0</v>
      </c>
      <c r="N115" s="335"/>
      <c r="O115" s="162">
        <f t="shared" si="26"/>
        <v>0</v>
      </c>
      <c r="P115" s="162">
        <f t="shared" si="21"/>
        <v>0</v>
      </c>
    </row>
    <row r="116" spans="2:16">
      <c r="B116" s="9" t="str">
        <f t="shared" si="22"/>
        <v/>
      </c>
      <c r="C116" s="157">
        <f>IF(D93="","-",+C115+1)</f>
        <v>2023</v>
      </c>
      <c r="D116" s="158">
        <f>IF(F115+SUM(E$99:E115)=D$92,F115,D$92-SUM(E$99:E115))</f>
        <v>255267</v>
      </c>
      <c r="E116" s="165">
        <f>IF(+J96&lt;F115,J96,D116)</f>
        <v>9017</v>
      </c>
      <c r="F116" s="163">
        <f t="shared" si="30"/>
        <v>246250</v>
      </c>
      <c r="G116" s="163">
        <f t="shared" si="31"/>
        <v>250758.5</v>
      </c>
      <c r="H116" s="167">
        <f t="shared" si="32"/>
        <v>34778.816634167713</v>
      </c>
      <c r="I116" s="317">
        <f t="shared" si="33"/>
        <v>34778.816634167713</v>
      </c>
      <c r="J116" s="162">
        <f t="shared" si="20"/>
        <v>0</v>
      </c>
      <c r="K116" s="162"/>
      <c r="L116" s="335"/>
      <c r="M116" s="162">
        <f t="shared" si="24"/>
        <v>0</v>
      </c>
      <c r="N116" s="335"/>
      <c r="O116" s="162">
        <f t="shared" si="26"/>
        <v>0</v>
      </c>
      <c r="P116" s="162">
        <f t="shared" si="21"/>
        <v>0</v>
      </c>
    </row>
    <row r="117" spans="2:16">
      <c r="B117" s="9" t="str">
        <f t="shared" si="22"/>
        <v/>
      </c>
      <c r="C117" s="157">
        <f>IF(D93="","-",+C116+1)</f>
        <v>2024</v>
      </c>
      <c r="D117" s="158">
        <f>IF(F116+SUM(E$99:E116)=D$92,F116,D$92-SUM(E$99:E116))</f>
        <v>246250</v>
      </c>
      <c r="E117" s="165">
        <f>IF(+J96&lt;F116,J96,D117)</f>
        <v>9017</v>
      </c>
      <c r="F117" s="163">
        <f t="shared" si="30"/>
        <v>237233</v>
      </c>
      <c r="G117" s="163">
        <f t="shared" si="31"/>
        <v>241741.5</v>
      </c>
      <c r="H117" s="167">
        <f t="shared" si="32"/>
        <v>33852.450028089392</v>
      </c>
      <c r="I117" s="317">
        <f t="shared" si="33"/>
        <v>33852.450028089392</v>
      </c>
      <c r="J117" s="162">
        <f t="shared" si="20"/>
        <v>0</v>
      </c>
      <c r="K117" s="162"/>
      <c r="L117" s="335"/>
      <c r="M117" s="162">
        <f t="shared" si="24"/>
        <v>0</v>
      </c>
      <c r="N117" s="335"/>
      <c r="O117" s="162">
        <f t="shared" si="26"/>
        <v>0</v>
      </c>
      <c r="P117" s="162">
        <f t="shared" si="21"/>
        <v>0</v>
      </c>
    </row>
    <row r="118" spans="2:16">
      <c r="B118" s="9" t="str">
        <f t="shared" si="22"/>
        <v/>
      </c>
      <c r="C118" s="157">
        <f>IF(D93="","-",+C117+1)</f>
        <v>2025</v>
      </c>
      <c r="D118" s="158">
        <f>IF(F117+SUM(E$99:E117)=D$92,F117,D$92-SUM(E$99:E117))</f>
        <v>237233</v>
      </c>
      <c r="E118" s="165">
        <f>IF(+J96&lt;F117,J96,D118)</f>
        <v>9017</v>
      </c>
      <c r="F118" s="163">
        <f t="shared" si="30"/>
        <v>228216</v>
      </c>
      <c r="G118" s="163">
        <f t="shared" si="31"/>
        <v>232724.5</v>
      </c>
      <c r="H118" s="167">
        <f t="shared" si="32"/>
        <v>32926.08342201107</v>
      </c>
      <c r="I118" s="317">
        <f t="shared" si="33"/>
        <v>32926.08342201107</v>
      </c>
      <c r="J118" s="162">
        <f t="shared" si="20"/>
        <v>0</v>
      </c>
      <c r="K118" s="162"/>
      <c r="L118" s="335"/>
      <c r="M118" s="162">
        <f t="shared" si="24"/>
        <v>0</v>
      </c>
      <c r="N118" s="335"/>
      <c r="O118" s="162">
        <f t="shared" si="26"/>
        <v>0</v>
      </c>
      <c r="P118" s="162">
        <f t="shared" si="21"/>
        <v>0</v>
      </c>
    </row>
    <row r="119" spans="2:16">
      <c r="B119" s="9" t="str">
        <f t="shared" si="22"/>
        <v/>
      </c>
      <c r="C119" s="157">
        <f>IF(D93="","-",+C118+1)</f>
        <v>2026</v>
      </c>
      <c r="D119" s="158">
        <f>IF(F118+SUM(E$99:E118)=D$92,F118,D$92-SUM(E$99:E118))</f>
        <v>228216</v>
      </c>
      <c r="E119" s="165">
        <f>IF(+J96&lt;F118,J96,D119)</f>
        <v>9017</v>
      </c>
      <c r="F119" s="163">
        <f t="shared" si="30"/>
        <v>219199</v>
      </c>
      <c r="G119" s="163">
        <f t="shared" si="31"/>
        <v>223707.5</v>
      </c>
      <c r="H119" s="167">
        <f t="shared" si="32"/>
        <v>31999.716815932752</v>
      </c>
      <c r="I119" s="317">
        <f t="shared" si="33"/>
        <v>31999.716815932752</v>
      </c>
      <c r="J119" s="162">
        <f t="shared" si="20"/>
        <v>0</v>
      </c>
      <c r="K119" s="162"/>
      <c r="L119" s="335"/>
      <c r="M119" s="162">
        <f t="shared" si="24"/>
        <v>0</v>
      </c>
      <c r="N119" s="335"/>
      <c r="O119" s="162">
        <f t="shared" si="26"/>
        <v>0</v>
      </c>
      <c r="P119" s="162">
        <f t="shared" si="21"/>
        <v>0</v>
      </c>
    </row>
    <row r="120" spans="2:16">
      <c r="B120" s="9" t="str">
        <f t="shared" si="22"/>
        <v/>
      </c>
      <c r="C120" s="157">
        <f>IF(D93="","-",+C119+1)</f>
        <v>2027</v>
      </c>
      <c r="D120" s="158">
        <f>IF(F119+SUM(E$99:E119)=D$92,F119,D$92-SUM(E$99:E119))</f>
        <v>219199</v>
      </c>
      <c r="E120" s="165">
        <f>IF(+J96&lt;F119,J96,D120)</f>
        <v>9017</v>
      </c>
      <c r="F120" s="163">
        <f t="shared" si="30"/>
        <v>210182</v>
      </c>
      <c r="G120" s="163">
        <f t="shared" si="31"/>
        <v>214690.5</v>
      </c>
      <c r="H120" s="167">
        <f t="shared" si="32"/>
        <v>31073.350209854434</v>
      </c>
      <c r="I120" s="317">
        <f t="shared" si="33"/>
        <v>31073.350209854434</v>
      </c>
      <c r="J120" s="162">
        <f t="shared" si="20"/>
        <v>0</v>
      </c>
      <c r="K120" s="162"/>
      <c r="L120" s="335"/>
      <c r="M120" s="162">
        <f t="shared" si="24"/>
        <v>0</v>
      </c>
      <c r="N120" s="335"/>
      <c r="O120" s="162">
        <f t="shared" si="26"/>
        <v>0</v>
      </c>
      <c r="P120" s="162">
        <f t="shared" si="21"/>
        <v>0</v>
      </c>
    </row>
    <row r="121" spans="2:16">
      <c r="B121" s="9" t="str">
        <f t="shared" si="22"/>
        <v/>
      </c>
      <c r="C121" s="157">
        <f>IF(D93="","-",+C120+1)</f>
        <v>2028</v>
      </c>
      <c r="D121" s="158">
        <f>IF(F120+SUM(E$99:E120)=D$92,F120,D$92-SUM(E$99:E120))</f>
        <v>210182</v>
      </c>
      <c r="E121" s="165">
        <f>IF(+J96&lt;F120,J96,D121)</f>
        <v>9017</v>
      </c>
      <c r="F121" s="163">
        <f t="shared" si="30"/>
        <v>201165</v>
      </c>
      <c r="G121" s="163">
        <f t="shared" si="31"/>
        <v>205673.5</v>
      </c>
      <c r="H121" s="167">
        <f t="shared" si="32"/>
        <v>30146.983603776116</v>
      </c>
      <c r="I121" s="317">
        <f t="shared" si="33"/>
        <v>30146.983603776116</v>
      </c>
      <c r="J121" s="162">
        <f t="shared" si="20"/>
        <v>0</v>
      </c>
      <c r="K121" s="162"/>
      <c r="L121" s="335"/>
      <c r="M121" s="162">
        <f t="shared" si="24"/>
        <v>0</v>
      </c>
      <c r="N121" s="335"/>
      <c r="O121" s="162">
        <f t="shared" si="26"/>
        <v>0</v>
      </c>
      <c r="P121" s="162">
        <f t="shared" si="21"/>
        <v>0</v>
      </c>
    </row>
    <row r="122" spans="2:16">
      <c r="B122" s="9" t="str">
        <f t="shared" si="22"/>
        <v/>
      </c>
      <c r="C122" s="157">
        <f>IF(D93="","-",+C121+1)</f>
        <v>2029</v>
      </c>
      <c r="D122" s="158">
        <f>IF(F121+SUM(E$99:E121)=D$92,F121,D$92-SUM(E$99:E121))</f>
        <v>201165</v>
      </c>
      <c r="E122" s="165">
        <f>IF(+J96&lt;F121,J96,D122)</f>
        <v>9017</v>
      </c>
      <c r="F122" s="163">
        <f t="shared" si="30"/>
        <v>192148</v>
      </c>
      <c r="G122" s="163">
        <f t="shared" si="31"/>
        <v>196656.5</v>
      </c>
      <c r="H122" s="167">
        <f t="shared" si="32"/>
        <v>29220.616997697794</v>
      </c>
      <c r="I122" s="317">
        <f t="shared" si="33"/>
        <v>29220.616997697794</v>
      </c>
      <c r="J122" s="162">
        <f t="shared" si="20"/>
        <v>0</v>
      </c>
      <c r="K122" s="162"/>
      <c r="L122" s="335"/>
      <c r="M122" s="162">
        <f t="shared" si="24"/>
        <v>0</v>
      </c>
      <c r="N122" s="335"/>
      <c r="O122" s="162">
        <f t="shared" si="26"/>
        <v>0</v>
      </c>
      <c r="P122" s="162">
        <f t="shared" si="21"/>
        <v>0</v>
      </c>
    </row>
    <row r="123" spans="2:16">
      <c r="B123" s="9" t="str">
        <f t="shared" si="22"/>
        <v/>
      </c>
      <c r="C123" s="157">
        <f>IF(D93="","-",+C122+1)</f>
        <v>2030</v>
      </c>
      <c r="D123" s="158">
        <f>IF(F122+SUM(E$99:E122)=D$92,F122,D$92-SUM(E$99:E122))</f>
        <v>192148</v>
      </c>
      <c r="E123" s="165">
        <f>IF(+J96&lt;F122,J96,D123)</f>
        <v>9017</v>
      </c>
      <c r="F123" s="163">
        <f t="shared" si="30"/>
        <v>183131</v>
      </c>
      <c r="G123" s="163">
        <f t="shared" si="31"/>
        <v>187639.5</v>
      </c>
      <c r="H123" s="167">
        <f t="shared" si="32"/>
        <v>28294.250391619476</v>
      </c>
      <c r="I123" s="317">
        <f t="shared" si="33"/>
        <v>28294.250391619476</v>
      </c>
      <c r="J123" s="162">
        <f t="shared" si="20"/>
        <v>0</v>
      </c>
      <c r="K123" s="162"/>
      <c r="L123" s="335"/>
      <c r="M123" s="162">
        <f t="shared" si="24"/>
        <v>0</v>
      </c>
      <c r="N123" s="335"/>
      <c r="O123" s="162">
        <f t="shared" si="26"/>
        <v>0</v>
      </c>
      <c r="P123" s="162">
        <f t="shared" si="21"/>
        <v>0</v>
      </c>
    </row>
    <row r="124" spans="2:16">
      <c r="B124" s="9" t="str">
        <f t="shared" si="22"/>
        <v/>
      </c>
      <c r="C124" s="157">
        <f>IF(D93="","-",+C123+1)</f>
        <v>2031</v>
      </c>
      <c r="D124" s="158">
        <f>IF(F123+SUM(E$99:E123)=D$92,F123,D$92-SUM(E$99:E123))</f>
        <v>183131</v>
      </c>
      <c r="E124" s="165">
        <f>IF(+J96&lt;F123,J96,D124)</f>
        <v>9017</v>
      </c>
      <c r="F124" s="163">
        <f t="shared" si="30"/>
        <v>174114</v>
      </c>
      <c r="G124" s="163">
        <f t="shared" si="31"/>
        <v>178622.5</v>
      </c>
      <c r="H124" s="167">
        <f t="shared" si="32"/>
        <v>27367.883785541158</v>
      </c>
      <c r="I124" s="317">
        <f t="shared" si="33"/>
        <v>27367.883785541158</v>
      </c>
      <c r="J124" s="162">
        <f t="shared" si="20"/>
        <v>0</v>
      </c>
      <c r="K124" s="162"/>
      <c r="L124" s="335"/>
      <c r="M124" s="162">
        <f t="shared" si="24"/>
        <v>0</v>
      </c>
      <c r="N124" s="335"/>
      <c r="O124" s="162">
        <f t="shared" si="26"/>
        <v>0</v>
      </c>
      <c r="P124" s="162">
        <f t="shared" si="21"/>
        <v>0</v>
      </c>
    </row>
    <row r="125" spans="2:16">
      <c r="B125" s="9" t="str">
        <f t="shared" si="22"/>
        <v/>
      </c>
      <c r="C125" s="157">
        <f>IF(D93="","-",+C124+1)</f>
        <v>2032</v>
      </c>
      <c r="D125" s="158">
        <f>IF(F124+SUM(E$99:E124)=D$92,F124,D$92-SUM(E$99:E124))</f>
        <v>174114</v>
      </c>
      <c r="E125" s="165">
        <f>IF(+J96&lt;F124,J96,D125)</f>
        <v>9017</v>
      </c>
      <c r="F125" s="163">
        <f t="shared" si="30"/>
        <v>165097</v>
      </c>
      <c r="G125" s="163">
        <f t="shared" si="31"/>
        <v>169605.5</v>
      </c>
      <c r="H125" s="167">
        <f t="shared" si="32"/>
        <v>26441.517179462837</v>
      </c>
      <c r="I125" s="317">
        <f t="shared" si="33"/>
        <v>26441.517179462837</v>
      </c>
      <c r="J125" s="162">
        <f t="shared" si="20"/>
        <v>0</v>
      </c>
      <c r="K125" s="162"/>
      <c r="L125" s="335"/>
      <c r="M125" s="162">
        <f t="shared" si="24"/>
        <v>0</v>
      </c>
      <c r="N125" s="335"/>
      <c r="O125" s="162">
        <f t="shared" si="26"/>
        <v>0</v>
      </c>
      <c r="P125" s="162">
        <f t="shared" si="21"/>
        <v>0</v>
      </c>
    </row>
    <row r="126" spans="2:16">
      <c r="B126" s="9" t="str">
        <f t="shared" si="22"/>
        <v/>
      </c>
      <c r="C126" s="157">
        <f>IF(D93="","-",+C125+1)</f>
        <v>2033</v>
      </c>
      <c r="D126" s="158">
        <f>IF(F125+SUM(E$99:E125)=D$92,F125,D$92-SUM(E$99:E125))</f>
        <v>165097</v>
      </c>
      <c r="E126" s="165">
        <f>IF(+J96&lt;F125,J96,D126)</f>
        <v>9017</v>
      </c>
      <c r="F126" s="163">
        <f t="shared" si="30"/>
        <v>156080</v>
      </c>
      <c r="G126" s="163">
        <f t="shared" si="31"/>
        <v>160588.5</v>
      </c>
      <c r="H126" s="167">
        <f t="shared" si="32"/>
        <v>25515.150573384519</v>
      </c>
      <c r="I126" s="317">
        <f t="shared" si="33"/>
        <v>25515.150573384519</v>
      </c>
      <c r="J126" s="162">
        <f t="shared" si="20"/>
        <v>0</v>
      </c>
      <c r="K126" s="162"/>
      <c r="L126" s="335"/>
      <c r="M126" s="162">
        <f t="shared" si="24"/>
        <v>0</v>
      </c>
      <c r="N126" s="335"/>
      <c r="O126" s="162">
        <f t="shared" si="26"/>
        <v>0</v>
      </c>
      <c r="P126" s="162">
        <f t="shared" si="21"/>
        <v>0</v>
      </c>
    </row>
    <row r="127" spans="2:16">
      <c r="B127" s="9" t="str">
        <f t="shared" si="22"/>
        <v/>
      </c>
      <c r="C127" s="157">
        <f>IF(D93="","-",+C126+1)</f>
        <v>2034</v>
      </c>
      <c r="D127" s="158">
        <f>IF(F126+SUM(E$99:E126)=D$92,F126,D$92-SUM(E$99:E126))</f>
        <v>156080</v>
      </c>
      <c r="E127" s="165">
        <f>IF(+J96&lt;F126,J96,D127)</f>
        <v>9017</v>
      </c>
      <c r="F127" s="163">
        <f t="shared" si="30"/>
        <v>147063</v>
      </c>
      <c r="G127" s="163">
        <f t="shared" si="31"/>
        <v>151571.5</v>
      </c>
      <c r="H127" s="167">
        <f t="shared" si="32"/>
        <v>24588.783967306197</v>
      </c>
      <c r="I127" s="317">
        <f t="shared" si="33"/>
        <v>24588.783967306197</v>
      </c>
      <c r="J127" s="162">
        <f t="shared" si="20"/>
        <v>0</v>
      </c>
      <c r="K127" s="162"/>
      <c r="L127" s="335"/>
      <c r="M127" s="162">
        <f t="shared" si="24"/>
        <v>0</v>
      </c>
      <c r="N127" s="335"/>
      <c r="O127" s="162">
        <f t="shared" si="26"/>
        <v>0</v>
      </c>
      <c r="P127" s="162">
        <f t="shared" si="21"/>
        <v>0</v>
      </c>
    </row>
    <row r="128" spans="2:16">
      <c r="B128" s="9" t="str">
        <f t="shared" si="22"/>
        <v/>
      </c>
      <c r="C128" s="157">
        <f>IF(D93="","-",+C127+1)</f>
        <v>2035</v>
      </c>
      <c r="D128" s="158">
        <f>IF(F127+SUM(E$99:E127)=D$92,F127,D$92-SUM(E$99:E127))</f>
        <v>147063</v>
      </c>
      <c r="E128" s="165">
        <f>IF(+J96&lt;F127,J96,D128)</f>
        <v>9017</v>
      </c>
      <c r="F128" s="163">
        <f t="shared" si="30"/>
        <v>138046</v>
      </c>
      <c r="G128" s="163">
        <f t="shared" si="31"/>
        <v>142554.5</v>
      </c>
      <c r="H128" s="167">
        <f t="shared" si="32"/>
        <v>23662.417361227879</v>
      </c>
      <c r="I128" s="317">
        <f t="shared" si="33"/>
        <v>23662.417361227879</v>
      </c>
      <c r="J128" s="162">
        <f t="shared" si="20"/>
        <v>0</v>
      </c>
      <c r="K128" s="162"/>
      <c r="L128" s="335"/>
      <c r="M128" s="162">
        <f t="shared" si="24"/>
        <v>0</v>
      </c>
      <c r="N128" s="335"/>
      <c r="O128" s="162">
        <f t="shared" si="26"/>
        <v>0</v>
      </c>
      <c r="P128" s="162">
        <f t="shared" si="21"/>
        <v>0</v>
      </c>
    </row>
    <row r="129" spans="2:16">
      <c r="B129" s="9" t="str">
        <f t="shared" si="22"/>
        <v/>
      </c>
      <c r="C129" s="157">
        <f>IF(D93="","-",+C128+1)</f>
        <v>2036</v>
      </c>
      <c r="D129" s="158">
        <f>IF(F128+SUM(E$99:E128)=D$92,F128,D$92-SUM(E$99:E128))</f>
        <v>138046</v>
      </c>
      <c r="E129" s="165">
        <f>IF(+J96&lt;F128,J96,D129)</f>
        <v>9017</v>
      </c>
      <c r="F129" s="163">
        <f t="shared" si="30"/>
        <v>129029</v>
      </c>
      <c r="G129" s="163">
        <f t="shared" si="31"/>
        <v>133537.5</v>
      </c>
      <c r="H129" s="167">
        <f t="shared" si="32"/>
        <v>22736.050755149561</v>
      </c>
      <c r="I129" s="317">
        <f t="shared" si="33"/>
        <v>22736.050755149561</v>
      </c>
      <c r="J129" s="162">
        <f t="shared" si="20"/>
        <v>0</v>
      </c>
      <c r="K129" s="162"/>
      <c r="L129" s="335"/>
      <c r="M129" s="162">
        <f t="shared" si="24"/>
        <v>0</v>
      </c>
      <c r="N129" s="335"/>
      <c r="O129" s="162">
        <f t="shared" si="26"/>
        <v>0</v>
      </c>
      <c r="P129" s="162">
        <f t="shared" si="21"/>
        <v>0</v>
      </c>
    </row>
    <row r="130" spans="2:16">
      <c r="B130" s="9" t="str">
        <f t="shared" si="22"/>
        <v/>
      </c>
      <c r="C130" s="157">
        <f>IF(D93="","-",+C129+1)</f>
        <v>2037</v>
      </c>
      <c r="D130" s="158">
        <f>IF(F129+SUM(E$99:E129)=D$92,F129,D$92-SUM(E$99:E129))</f>
        <v>129029</v>
      </c>
      <c r="E130" s="165">
        <f>IF(+J96&lt;F129,J96,D130)</f>
        <v>9017</v>
      </c>
      <c r="F130" s="163">
        <f t="shared" si="30"/>
        <v>120012</v>
      </c>
      <c r="G130" s="163">
        <f t="shared" si="31"/>
        <v>124520.5</v>
      </c>
      <c r="H130" s="167">
        <f t="shared" si="32"/>
        <v>21809.68414907124</v>
      </c>
      <c r="I130" s="317">
        <f t="shared" si="33"/>
        <v>21809.68414907124</v>
      </c>
      <c r="J130" s="162">
        <f t="shared" si="20"/>
        <v>0</v>
      </c>
      <c r="K130" s="162"/>
      <c r="L130" s="335"/>
      <c r="M130" s="162">
        <f t="shared" si="24"/>
        <v>0</v>
      </c>
      <c r="N130" s="335"/>
      <c r="O130" s="162">
        <f t="shared" si="26"/>
        <v>0</v>
      </c>
      <c r="P130" s="162">
        <f t="shared" si="21"/>
        <v>0</v>
      </c>
    </row>
    <row r="131" spans="2:16">
      <c r="B131" s="9" t="str">
        <f t="shared" si="22"/>
        <v/>
      </c>
      <c r="C131" s="157">
        <f>IF(D93="","-",+C130+1)</f>
        <v>2038</v>
      </c>
      <c r="D131" s="158">
        <f>IF(F130+SUM(E$99:E130)=D$92,F130,D$92-SUM(E$99:E130))</f>
        <v>120012</v>
      </c>
      <c r="E131" s="165">
        <f>IF(+J96&lt;F130,J96,D131)</f>
        <v>9017</v>
      </c>
      <c r="F131" s="163">
        <f t="shared" ref="F131:F154" si="34">+D131-E131</f>
        <v>110995</v>
      </c>
      <c r="G131" s="163">
        <f t="shared" ref="G131:G154" si="35">+(F131+D131)/2</f>
        <v>115503.5</v>
      </c>
      <c r="H131" s="167">
        <f t="shared" si="32"/>
        <v>20883.317542992922</v>
      </c>
      <c r="I131" s="317">
        <f t="shared" si="33"/>
        <v>20883.317542992922</v>
      </c>
      <c r="J131" s="162">
        <f t="shared" ref="J131:J154" si="36">+I131-H131</f>
        <v>0</v>
      </c>
      <c r="K131" s="162"/>
      <c r="L131" s="335"/>
      <c r="M131" s="162">
        <f t="shared" si="24"/>
        <v>0</v>
      </c>
      <c r="N131" s="335"/>
      <c r="O131" s="162">
        <f t="shared" si="26"/>
        <v>0</v>
      </c>
      <c r="P131" s="162">
        <f t="shared" ref="P131:P154" si="37">+O131-M131</f>
        <v>0</v>
      </c>
    </row>
    <row r="132" spans="2:16">
      <c r="B132" s="9" t="str">
        <f t="shared" si="22"/>
        <v/>
      </c>
      <c r="C132" s="157">
        <f>IF(D93="","-",+C131+1)</f>
        <v>2039</v>
      </c>
      <c r="D132" s="158">
        <f>IF(F131+SUM(E$99:E131)=D$92,F131,D$92-SUM(E$99:E131))</f>
        <v>110995</v>
      </c>
      <c r="E132" s="165">
        <f>IF(+J96&lt;F131,J96,D132)</f>
        <v>9017</v>
      </c>
      <c r="F132" s="163">
        <f t="shared" si="34"/>
        <v>101978</v>
      </c>
      <c r="G132" s="163">
        <f t="shared" si="35"/>
        <v>106486.5</v>
      </c>
      <c r="H132" s="167">
        <f t="shared" si="32"/>
        <v>19956.950936914604</v>
      </c>
      <c r="I132" s="317">
        <f t="shared" si="33"/>
        <v>19956.950936914604</v>
      </c>
      <c r="J132" s="162">
        <f t="shared" si="36"/>
        <v>0</v>
      </c>
      <c r="K132" s="162"/>
      <c r="L132" s="335"/>
      <c r="M132" s="162">
        <f t="shared" si="24"/>
        <v>0</v>
      </c>
      <c r="N132" s="335"/>
      <c r="O132" s="162">
        <f t="shared" si="26"/>
        <v>0</v>
      </c>
      <c r="P132" s="162">
        <f t="shared" si="37"/>
        <v>0</v>
      </c>
    </row>
    <row r="133" spans="2:16">
      <c r="B133" s="9" t="str">
        <f t="shared" si="22"/>
        <v/>
      </c>
      <c r="C133" s="157">
        <f>IF(D93="","-",+C132+1)</f>
        <v>2040</v>
      </c>
      <c r="D133" s="158">
        <f>IF(F132+SUM(E$99:E132)=D$92,F132,D$92-SUM(E$99:E132))</f>
        <v>101978</v>
      </c>
      <c r="E133" s="165">
        <f>IF(+J96&lt;F132,J96,D133)</f>
        <v>9017</v>
      </c>
      <c r="F133" s="163">
        <f t="shared" si="34"/>
        <v>92961</v>
      </c>
      <c r="G133" s="163">
        <f t="shared" si="35"/>
        <v>97469.5</v>
      </c>
      <c r="H133" s="167">
        <f t="shared" si="32"/>
        <v>19030.584330836282</v>
      </c>
      <c r="I133" s="317">
        <f t="shared" si="33"/>
        <v>19030.584330836282</v>
      </c>
      <c r="J133" s="162">
        <f t="shared" si="36"/>
        <v>0</v>
      </c>
      <c r="K133" s="162"/>
      <c r="L133" s="335"/>
      <c r="M133" s="162">
        <f t="shared" si="24"/>
        <v>0</v>
      </c>
      <c r="N133" s="335"/>
      <c r="O133" s="162">
        <f t="shared" si="26"/>
        <v>0</v>
      </c>
      <c r="P133" s="162">
        <f t="shared" si="37"/>
        <v>0</v>
      </c>
    </row>
    <row r="134" spans="2:16">
      <c r="B134" s="9" t="str">
        <f t="shared" si="22"/>
        <v/>
      </c>
      <c r="C134" s="157">
        <f>IF(D93="","-",+C133+1)</f>
        <v>2041</v>
      </c>
      <c r="D134" s="158">
        <f>IF(F133+SUM(E$99:E133)=D$92,F133,D$92-SUM(E$99:E133))</f>
        <v>92961</v>
      </c>
      <c r="E134" s="165">
        <f>IF(+J96&lt;F133,J96,D134)</f>
        <v>9017</v>
      </c>
      <c r="F134" s="163">
        <f t="shared" si="34"/>
        <v>83944</v>
      </c>
      <c r="G134" s="163">
        <f t="shared" si="35"/>
        <v>88452.5</v>
      </c>
      <c r="H134" s="167">
        <f t="shared" si="32"/>
        <v>18104.21772475796</v>
      </c>
      <c r="I134" s="317">
        <f t="shared" si="33"/>
        <v>18104.21772475796</v>
      </c>
      <c r="J134" s="162">
        <f t="shared" si="36"/>
        <v>0</v>
      </c>
      <c r="K134" s="162"/>
      <c r="L134" s="335"/>
      <c r="M134" s="162">
        <f t="shared" ref="M134:M154" si="38">IF(L134&lt;&gt;0,+H134-L134,0)</f>
        <v>0</v>
      </c>
      <c r="N134" s="335"/>
      <c r="O134" s="162">
        <f t="shared" ref="O134:O154" si="39">IF(N134&lt;&gt;0,+I134-N134,0)</f>
        <v>0</v>
      </c>
      <c r="P134" s="162">
        <f t="shared" si="37"/>
        <v>0</v>
      </c>
    </row>
    <row r="135" spans="2:16">
      <c r="B135" s="9" t="str">
        <f t="shared" si="22"/>
        <v/>
      </c>
      <c r="C135" s="157">
        <f>IF(D93="","-",+C134+1)</f>
        <v>2042</v>
      </c>
      <c r="D135" s="158">
        <f>IF(F134+SUM(E$99:E134)=D$92,F134,D$92-SUM(E$99:E134))</f>
        <v>83944</v>
      </c>
      <c r="E135" s="165">
        <f>IF(+J96&lt;F134,J96,D135)</f>
        <v>9017</v>
      </c>
      <c r="F135" s="163">
        <f t="shared" si="34"/>
        <v>74927</v>
      </c>
      <c r="G135" s="163">
        <f t="shared" si="35"/>
        <v>79435.5</v>
      </c>
      <c r="H135" s="167">
        <f t="shared" si="32"/>
        <v>17177.851118679642</v>
      </c>
      <c r="I135" s="317">
        <f t="shared" si="33"/>
        <v>17177.851118679642</v>
      </c>
      <c r="J135" s="162">
        <f t="shared" si="36"/>
        <v>0</v>
      </c>
      <c r="K135" s="162"/>
      <c r="L135" s="335"/>
      <c r="M135" s="162">
        <f t="shared" si="38"/>
        <v>0</v>
      </c>
      <c r="N135" s="335"/>
      <c r="O135" s="162">
        <f t="shared" si="39"/>
        <v>0</v>
      </c>
      <c r="P135" s="162">
        <f t="shared" si="37"/>
        <v>0</v>
      </c>
    </row>
    <row r="136" spans="2:16">
      <c r="B136" s="9" t="str">
        <f t="shared" si="22"/>
        <v/>
      </c>
      <c r="C136" s="157">
        <f>IF(D93="","-",+C135+1)</f>
        <v>2043</v>
      </c>
      <c r="D136" s="158">
        <f>IF(F135+SUM(E$99:E135)=D$92,F135,D$92-SUM(E$99:E135))</f>
        <v>74927</v>
      </c>
      <c r="E136" s="165">
        <f>IF(+J96&lt;F135,J96,D136)</f>
        <v>9017</v>
      </c>
      <c r="F136" s="163">
        <f t="shared" si="34"/>
        <v>65910</v>
      </c>
      <c r="G136" s="163">
        <f t="shared" si="35"/>
        <v>70418.5</v>
      </c>
      <c r="H136" s="167">
        <f t="shared" si="32"/>
        <v>16251.484512601324</v>
      </c>
      <c r="I136" s="317">
        <f t="shared" si="33"/>
        <v>16251.484512601324</v>
      </c>
      <c r="J136" s="162">
        <f t="shared" si="36"/>
        <v>0</v>
      </c>
      <c r="K136" s="162"/>
      <c r="L136" s="335"/>
      <c r="M136" s="162">
        <f t="shared" si="38"/>
        <v>0</v>
      </c>
      <c r="N136" s="335"/>
      <c r="O136" s="162">
        <f t="shared" si="39"/>
        <v>0</v>
      </c>
      <c r="P136" s="162">
        <f t="shared" si="37"/>
        <v>0</v>
      </c>
    </row>
    <row r="137" spans="2:16">
      <c r="B137" s="9" t="str">
        <f t="shared" si="22"/>
        <v/>
      </c>
      <c r="C137" s="157">
        <f>IF(D93="","-",+C136+1)</f>
        <v>2044</v>
      </c>
      <c r="D137" s="158">
        <f>IF(F136+SUM(E$99:E136)=D$92,F136,D$92-SUM(E$99:E136))</f>
        <v>65910</v>
      </c>
      <c r="E137" s="165">
        <f>IF(+J96&lt;F136,J96,D137)</f>
        <v>9017</v>
      </c>
      <c r="F137" s="163">
        <f t="shared" si="34"/>
        <v>56893</v>
      </c>
      <c r="G137" s="163">
        <f t="shared" si="35"/>
        <v>61401.5</v>
      </c>
      <c r="H137" s="167">
        <f t="shared" si="32"/>
        <v>15325.117906523004</v>
      </c>
      <c r="I137" s="317">
        <f t="shared" si="33"/>
        <v>15325.117906523004</v>
      </c>
      <c r="J137" s="162">
        <f t="shared" si="36"/>
        <v>0</v>
      </c>
      <c r="K137" s="162"/>
      <c r="L137" s="335"/>
      <c r="M137" s="162">
        <f t="shared" si="38"/>
        <v>0</v>
      </c>
      <c r="N137" s="335"/>
      <c r="O137" s="162">
        <f t="shared" si="39"/>
        <v>0</v>
      </c>
      <c r="P137" s="162">
        <f t="shared" si="37"/>
        <v>0</v>
      </c>
    </row>
    <row r="138" spans="2:16">
      <c r="B138" s="9" t="str">
        <f t="shared" si="22"/>
        <v/>
      </c>
      <c r="C138" s="157">
        <f>IF(D93="","-",+C137+1)</f>
        <v>2045</v>
      </c>
      <c r="D138" s="158">
        <f>IF(F137+SUM(E$99:E137)=D$92,F137,D$92-SUM(E$99:E137))</f>
        <v>56893</v>
      </c>
      <c r="E138" s="165">
        <f>IF(+J96&lt;F137,J96,D138)</f>
        <v>9017</v>
      </c>
      <c r="F138" s="163">
        <f t="shared" si="34"/>
        <v>47876</v>
      </c>
      <c r="G138" s="163">
        <f t="shared" si="35"/>
        <v>52384.5</v>
      </c>
      <c r="H138" s="167">
        <f t="shared" si="32"/>
        <v>14398.751300444685</v>
      </c>
      <c r="I138" s="317">
        <f t="shared" si="33"/>
        <v>14398.751300444685</v>
      </c>
      <c r="J138" s="162">
        <f t="shared" si="36"/>
        <v>0</v>
      </c>
      <c r="K138" s="162"/>
      <c r="L138" s="335"/>
      <c r="M138" s="162">
        <f t="shared" si="38"/>
        <v>0</v>
      </c>
      <c r="N138" s="335"/>
      <c r="O138" s="162">
        <f t="shared" si="39"/>
        <v>0</v>
      </c>
      <c r="P138" s="162">
        <f t="shared" si="37"/>
        <v>0</v>
      </c>
    </row>
    <row r="139" spans="2:16">
      <c r="B139" s="9" t="str">
        <f t="shared" si="22"/>
        <v/>
      </c>
      <c r="C139" s="157">
        <f>IF(D93="","-",+C138+1)</f>
        <v>2046</v>
      </c>
      <c r="D139" s="158">
        <f>IF(F138+SUM(E$99:E138)=D$92,F138,D$92-SUM(E$99:E138))</f>
        <v>47876</v>
      </c>
      <c r="E139" s="165">
        <f>IF(+J96&lt;F138,J96,D139)</f>
        <v>9017</v>
      </c>
      <c r="F139" s="163">
        <f t="shared" si="34"/>
        <v>38859</v>
      </c>
      <c r="G139" s="163">
        <f t="shared" si="35"/>
        <v>43367.5</v>
      </c>
      <c r="H139" s="167">
        <f t="shared" si="32"/>
        <v>13472.384694366367</v>
      </c>
      <c r="I139" s="317">
        <f t="shared" si="33"/>
        <v>13472.384694366367</v>
      </c>
      <c r="J139" s="162">
        <f t="shared" si="36"/>
        <v>0</v>
      </c>
      <c r="K139" s="162"/>
      <c r="L139" s="335"/>
      <c r="M139" s="162">
        <f t="shared" si="38"/>
        <v>0</v>
      </c>
      <c r="N139" s="335"/>
      <c r="O139" s="162">
        <f t="shared" si="39"/>
        <v>0</v>
      </c>
      <c r="P139" s="162">
        <f t="shared" si="37"/>
        <v>0</v>
      </c>
    </row>
    <row r="140" spans="2:16">
      <c r="B140" s="9" t="str">
        <f t="shared" si="22"/>
        <v/>
      </c>
      <c r="C140" s="157">
        <f>IF(D93="","-",+C139+1)</f>
        <v>2047</v>
      </c>
      <c r="D140" s="158">
        <f>IF(F139+SUM(E$99:E139)=D$92,F139,D$92-SUM(E$99:E139))</f>
        <v>38859</v>
      </c>
      <c r="E140" s="165">
        <f>IF(+J96&lt;F139,J96,D140)</f>
        <v>9017</v>
      </c>
      <c r="F140" s="163">
        <f t="shared" si="34"/>
        <v>29842</v>
      </c>
      <c r="G140" s="163">
        <f t="shared" si="35"/>
        <v>34350.5</v>
      </c>
      <c r="H140" s="167">
        <f t="shared" si="32"/>
        <v>12546.018088288045</v>
      </c>
      <c r="I140" s="317">
        <f t="shared" si="33"/>
        <v>12546.018088288045</v>
      </c>
      <c r="J140" s="162">
        <f t="shared" si="36"/>
        <v>0</v>
      </c>
      <c r="K140" s="162"/>
      <c r="L140" s="335"/>
      <c r="M140" s="162">
        <f t="shared" si="38"/>
        <v>0</v>
      </c>
      <c r="N140" s="335"/>
      <c r="O140" s="162">
        <f t="shared" si="39"/>
        <v>0</v>
      </c>
      <c r="P140" s="162">
        <f t="shared" si="37"/>
        <v>0</v>
      </c>
    </row>
    <row r="141" spans="2:16">
      <c r="B141" s="9" t="str">
        <f t="shared" si="22"/>
        <v/>
      </c>
      <c r="C141" s="157">
        <f>IF(D93="","-",+C140+1)</f>
        <v>2048</v>
      </c>
      <c r="D141" s="158">
        <f>IF(F140+SUM(E$99:E140)=D$92,F140,D$92-SUM(E$99:E140))</f>
        <v>29842</v>
      </c>
      <c r="E141" s="165">
        <f>IF(+J96&lt;F140,J96,D141)</f>
        <v>9017</v>
      </c>
      <c r="F141" s="163">
        <f t="shared" si="34"/>
        <v>20825</v>
      </c>
      <c r="G141" s="163">
        <f t="shared" si="35"/>
        <v>25333.5</v>
      </c>
      <c r="H141" s="167">
        <f t="shared" si="32"/>
        <v>11619.651482209727</v>
      </c>
      <c r="I141" s="317">
        <f t="shared" si="33"/>
        <v>11619.651482209727</v>
      </c>
      <c r="J141" s="162">
        <f t="shared" si="36"/>
        <v>0</v>
      </c>
      <c r="K141" s="162"/>
      <c r="L141" s="335"/>
      <c r="M141" s="162">
        <f t="shared" si="38"/>
        <v>0</v>
      </c>
      <c r="N141" s="335"/>
      <c r="O141" s="162">
        <f t="shared" si="39"/>
        <v>0</v>
      </c>
      <c r="P141" s="162">
        <f t="shared" si="37"/>
        <v>0</v>
      </c>
    </row>
    <row r="142" spans="2:16">
      <c r="B142" s="9" t="str">
        <f t="shared" si="22"/>
        <v/>
      </c>
      <c r="C142" s="157">
        <f>IF(D93="","-",+C141+1)</f>
        <v>2049</v>
      </c>
      <c r="D142" s="158">
        <f>IF(F141+SUM(E$99:E141)=D$92,F141,D$92-SUM(E$99:E141))</f>
        <v>20825</v>
      </c>
      <c r="E142" s="165">
        <f>IF(+J96&lt;F141,J96,D142)</f>
        <v>9017</v>
      </c>
      <c r="F142" s="163">
        <f t="shared" si="34"/>
        <v>11808</v>
      </c>
      <c r="G142" s="163">
        <f t="shared" si="35"/>
        <v>16316.5</v>
      </c>
      <c r="H142" s="167">
        <f t="shared" si="32"/>
        <v>10693.284876131407</v>
      </c>
      <c r="I142" s="317">
        <f t="shared" si="33"/>
        <v>10693.284876131407</v>
      </c>
      <c r="J142" s="162">
        <f t="shared" si="36"/>
        <v>0</v>
      </c>
      <c r="K142" s="162"/>
      <c r="L142" s="335"/>
      <c r="M142" s="162">
        <f t="shared" si="38"/>
        <v>0</v>
      </c>
      <c r="N142" s="335"/>
      <c r="O142" s="162">
        <f t="shared" si="39"/>
        <v>0</v>
      </c>
      <c r="P142" s="162">
        <f t="shared" si="37"/>
        <v>0</v>
      </c>
    </row>
    <row r="143" spans="2:16">
      <c r="B143" s="9" t="str">
        <f t="shared" si="22"/>
        <v/>
      </c>
      <c r="C143" s="157">
        <f>IF(D93="","-",+C142+1)</f>
        <v>2050</v>
      </c>
      <c r="D143" s="158">
        <f>IF(F142+SUM(E$99:E142)=D$92,F142,D$92-SUM(E$99:E142))</f>
        <v>11808</v>
      </c>
      <c r="E143" s="165">
        <f>IF(+J96&lt;F142,J96,D143)</f>
        <v>9017</v>
      </c>
      <c r="F143" s="163">
        <f t="shared" si="34"/>
        <v>2791</v>
      </c>
      <c r="G143" s="163">
        <f t="shared" si="35"/>
        <v>7299.5</v>
      </c>
      <c r="H143" s="167">
        <f t="shared" si="32"/>
        <v>9766.9182700530873</v>
      </c>
      <c r="I143" s="317">
        <f t="shared" si="33"/>
        <v>9766.9182700530873</v>
      </c>
      <c r="J143" s="162">
        <f t="shared" si="36"/>
        <v>0</v>
      </c>
      <c r="K143" s="162"/>
      <c r="L143" s="335"/>
      <c r="M143" s="162">
        <f t="shared" si="38"/>
        <v>0</v>
      </c>
      <c r="N143" s="335"/>
      <c r="O143" s="162">
        <f t="shared" si="39"/>
        <v>0</v>
      </c>
      <c r="P143" s="162">
        <f t="shared" si="37"/>
        <v>0</v>
      </c>
    </row>
    <row r="144" spans="2:16">
      <c r="B144" s="9" t="str">
        <f t="shared" si="22"/>
        <v/>
      </c>
      <c r="C144" s="157">
        <f>IF(D93="","-",+C143+1)</f>
        <v>2051</v>
      </c>
      <c r="D144" s="158">
        <f>IF(F143+SUM(E$99:E143)=D$92,F143,D$92-SUM(E$99:E143))</f>
        <v>2791</v>
      </c>
      <c r="E144" s="165">
        <f>IF(+J96&lt;F143,J96,D144)</f>
        <v>2791</v>
      </c>
      <c r="F144" s="163">
        <f t="shared" si="34"/>
        <v>0</v>
      </c>
      <c r="G144" s="163">
        <f t="shared" si="35"/>
        <v>1395.5</v>
      </c>
      <c r="H144" s="167">
        <f t="shared" si="32"/>
        <v>2934.3674835069642</v>
      </c>
      <c r="I144" s="317">
        <f t="shared" si="33"/>
        <v>2934.3674835069642</v>
      </c>
      <c r="J144" s="162">
        <f t="shared" si="36"/>
        <v>0</v>
      </c>
      <c r="K144" s="162"/>
      <c r="L144" s="335"/>
      <c r="M144" s="162">
        <f t="shared" si="38"/>
        <v>0</v>
      </c>
      <c r="N144" s="335"/>
      <c r="O144" s="162">
        <f t="shared" si="39"/>
        <v>0</v>
      </c>
      <c r="P144" s="162">
        <f t="shared" si="37"/>
        <v>0</v>
      </c>
    </row>
    <row r="145" spans="2:16">
      <c r="B145" s="9" t="str">
        <f t="shared" si="22"/>
        <v/>
      </c>
      <c r="C145" s="157">
        <f>IF(D93="","-",+C144+1)</f>
        <v>2052</v>
      </c>
      <c r="D145" s="158">
        <f>IF(F144+SUM(E$99:E144)=D$92,F144,D$92-SUM(E$99:E144))</f>
        <v>0</v>
      </c>
      <c r="E145" s="165">
        <f>IF(+J96&lt;F144,J96,D145)</f>
        <v>0</v>
      </c>
      <c r="F145" s="163">
        <f t="shared" si="34"/>
        <v>0</v>
      </c>
      <c r="G145" s="163">
        <f t="shared" si="35"/>
        <v>0</v>
      </c>
      <c r="H145" s="167">
        <f t="shared" si="32"/>
        <v>0</v>
      </c>
      <c r="I145" s="317">
        <f t="shared" si="33"/>
        <v>0</v>
      </c>
      <c r="J145" s="162">
        <f t="shared" si="36"/>
        <v>0</v>
      </c>
      <c r="K145" s="162"/>
      <c r="L145" s="335"/>
      <c r="M145" s="162">
        <f t="shared" si="38"/>
        <v>0</v>
      </c>
      <c r="N145" s="335"/>
      <c r="O145" s="162">
        <f t="shared" si="39"/>
        <v>0</v>
      </c>
      <c r="P145" s="162">
        <f t="shared" si="37"/>
        <v>0</v>
      </c>
    </row>
    <row r="146" spans="2:16">
      <c r="B146" s="9" t="str">
        <f t="shared" si="22"/>
        <v/>
      </c>
      <c r="C146" s="157">
        <f>IF(D93="","-",+C145+1)</f>
        <v>2053</v>
      </c>
      <c r="D146" s="158">
        <f>IF(F145+SUM(E$99:E145)=D$92,F145,D$92-SUM(E$99:E145))</f>
        <v>0</v>
      </c>
      <c r="E146" s="165">
        <f>IF(+J96&lt;F145,J96,D146)</f>
        <v>0</v>
      </c>
      <c r="F146" s="163">
        <f t="shared" si="34"/>
        <v>0</v>
      </c>
      <c r="G146" s="163">
        <f t="shared" si="35"/>
        <v>0</v>
      </c>
      <c r="H146" s="167">
        <f t="shared" si="32"/>
        <v>0</v>
      </c>
      <c r="I146" s="317">
        <f t="shared" si="33"/>
        <v>0</v>
      </c>
      <c r="J146" s="162">
        <f t="shared" si="36"/>
        <v>0</v>
      </c>
      <c r="K146" s="162"/>
      <c r="L146" s="335"/>
      <c r="M146" s="162">
        <f t="shared" si="38"/>
        <v>0</v>
      </c>
      <c r="N146" s="335"/>
      <c r="O146" s="162">
        <f t="shared" si="39"/>
        <v>0</v>
      </c>
      <c r="P146" s="162">
        <f t="shared" si="37"/>
        <v>0</v>
      </c>
    </row>
    <row r="147" spans="2:16">
      <c r="B147" s="9" t="str">
        <f t="shared" si="22"/>
        <v/>
      </c>
      <c r="C147" s="157">
        <f>IF(D93="","-",+C146+1)</f>
        <v>2054</v>
      </c>
      <c r="D147" s="158">
        <f>IF(F146+SUM(E$99:E146)=D$92,F146,D$92-SUM(E$99:E146))</f>
        <v>0</v>
      </c>
      <c r="E147" s="165">
        <f>IF(+J96&lt;F146,J96,D147)</f>
        <v>0</v>
      </c>
      <c r="F147" s="163">
        <f t="shared" si="34"/>
        <v>0</v>
      </c>
      <c r="G147" s="163">
        <f t="shared" si="35"/>
        <v>0</v>
      </c>
      <c r="H147" s="167">
        <f t="shared" si="32"/>
        <v>0</v>
      </c>
      <c r="I147" s="317">
        <f t="shared" si="33"/>
        <v>0</v>
      </c>
      <c r="J147" s="162">
        <f t="shared" si="36"/>
        <v>0</v>
      </c>
      <c r="K147" s="162"/>
      <c r="L147" s="335"/>
      <c r="M147" s="162">
        <f t="shared" si="38"/>
        <v>0</v>
      </c>
      <c r="N147" s="335"/>
      <c r="O147" s="162">
        <f t="shared" si="39"/>
        <v>0</v>
      </c>
      <c r="P147" s="162">
        <f t="shared" si="37"/>
        <v>0</v>
      </c>
    </row>
    <row r="148" spans="2:16">
      <c r="B148" s="9" t="str">
        <f t="shared" si="22"/>
        <v/>
      </c>
      <c r="C148" s="157">
        <f>IF(D93="","-",+C147+1)</f>
        <v>2055</v>
      </c>
      <c r="D148" s="158">
        <f>IF(F147+SUM(E$99:E147)=D$92,F147,D$92-SUM(E$99:E147))</f>
        <v>0</v>
      </c>
      <c r="E148" s="165">
        <f>IF(+J96&lt;F147,J96,D148)</f>
        <v>0</v>
      </c>
      <c r="F148" s="163">
        <f t="shared" si="34"/>
        <v>0</v>
      </c>
      <c r="G148" s="163">
        <f t="shared" si="35"/>
        <v>0</v>
      </c>
      <c r="H148" s="167">
        <f t="shared" si="32"/>
        <v>0</v>
      </c>
      <c r="I148" s="317">
        <f t="shared" si="33"/>
        <v>0</v>
      </c>
      <c r="J148" s="162">
        <f t="shared" si="36"/>
        <v>0</v>
      </c>
      <c r="K148" s="162"/>
      <c r="L148" s="335"/>
      <c r="M148" s="162">
        <f t="shared" si="38"/>
        <v>0</v>
      </c>
      <c r="N148" s="335"/>
      <c r="O148" s="162">
        <f t="shared" si="39"/>
        <v>0</v>
      </c>
      <c r="P148" s="162">
        <f t="shared" si="37"/>
        <v>0</v>
      </c>
    </row>
    <row r="149" spans="2:16">
      <c r="B149" s="9" t="str">
        <f t="shared" si="22"/>
        <v/>
      </c>
      <c r="C149" s="157">
        <f>IF(D93="","-",+C148+1)</f>
        <v>2056</v>
      </c>
      <c r="D149" s="158">
        <f>IF(F148+SUM(E$99:E148)=D$92,F148,D$92-SUM(E$99:E148))</f>
        <v>0</v>
      </c>
      <c r="E149" s="165">
        <f>IF(+J96&lt;F148,J96,D149)</f>
        <v>0</v>
      </c>
      <c r="F149" s="163">
        <f t="shared" si="34"/>
        <v>0</v>
      </c>
      <c r="G149" s="163">
        <f t="shared" si="35"/>
        <v>0</v>
      </c>
      <c r="H149" s="167">
        <f t="shared" si="32"/>
        <v>0</v>
      </c>
      <c r="I149" s="317">
        <f t="shared" si="33"/>
        <v>0</v>
      </c>
      <c r="J149" s="162">
        <f t="shared" si="36"/>
        <v>0</v>
      </c>
      <c r="K149" s="162"/>
      <c r="L149" s="335"/>
      <c r="M149" s="162">
        <f t="shared" si="38"/>
        <v>0</v>
      </c>
      <c r="N149" s="335"/>
      <c r="O149" s="162">
        <f t="shared" si="39"/>
        <v>0</v>
      </c>
      <c r="P149" s="162">
        <f t="shared" si="37"/>
        <v>0</v>
      </c>
    </row>
    <row r="150" spans="2:16">
      <c r="B150" s="9" t="str">
        <f t="shared" si="22"/>
        <v/>
      </c>
      <c r="C150" s="157">
        <f>IF(D93="","-",+C149+1)</f>
        <v>2057</v>
      </c>
      <c r="D150" s="158">
        <f>IF(F149+SUM(E$99:E149)=D$92,F149,D$92-SUM(E$99:E149))</f>
        <v>0</v>
      </c>
      <c r="E150" s="165">
        <f>IF(+J96&lt;F149,J96,D150)</f>
        <v>0</v>
      </c>
      <c r="F150" s="163">
        <f t="shared" si="34"/>
        <v>0</v>
      </c>
      <c r="G150" s="163">
        <f t="shared" si="35"/>
        <v>0</v>
      </c>
      <c r="H150" s="167">
        <f t="shared" si="32"/>
        <v>0</v>
      </c>
      <c r="I150" s="317">
        <f t="shared" si="33"/>
        <v>0</v>
      </c>
      <c r="J150" s="162">
        <f t="shared" si="36"/>
        <v>0</v>
      </c>
      <c r="K150" s="162"/>
      <c r="L150" s="335"/>
      <c r="M150" s="162">
        <f t="shared" si="38"/>
        <v>0</v>
      </c>
      <c r="N150" s="335"/>
      <c r="O150" s="162">
        <f t="shared" si="39"/>
        <v>0</v>
      </c>
      <c r="P150" s="162">
        <f t="shared" si="37"/>
        <v>0</v>
      </c>
    </row>
    <row r="151" spans="2:16">
      <c r="B151" s="9" t="str">
        <f t="shared" si="22"/>
        <v/>
      </c>
      <c r="C151" s="157">
        <f>IF(D93="","-",+C150+1)</f>
        <v>2058</v>
      </c>
      <c r="D151" s="158">
        <f>IF(F150+SUM(E$99:E150)=D$92,F150,D$92-SUM(E$99:E150))</f>
        <v>0</v>
      </c>
      <c r="E151" s="165">
        <f>IF(+J96&lt;F150,J96,D151)</f>
        <v>0</v>
      </c>
      <c r="F151" s="163">
        <f t="shared" si="34"/>
        <v>0</v>
      </c>
      <c r="G151" s="163">
        <f t="shared" si="35"/>
        <v>0</v>
      </c>
      <c r="H151" s="167">
        <f t="shared" si="32"/>
        <v>0</v>
      </c>
      <c r="I151" s="317">
        <f t="shared" si="33"/>
        <v>0</v>
      </c>
      <c r="J151" s="162">
        <f t="shared" si="36"/>
        <v>0</v>
      </c>
      <c r="K151" s="162"/>
      <c r="L151" s="335"/>
      <c r="M151" s="162">
        <f t="shared" si="38"/>
        <v>0</v>
      </c>
      <c r="N151" s="335"/>
      <c r="O151" s="162">
        <f t="shared" si="39"/>
        <v>0</v>
      </c>
      <c r="P151" s="162">
        <f t="shared" si="37"/>
        <v>0</v>
      </c>
    </row>
    <row r="152" spans="2:16">
      <c r="B152" s="9" t="str">
        <f t="shared" si="22"/>
        <v/>
      </c>
      <c r="C152" s="157">
        <f>IF(D93="","-",+C151+1)</f>
        <v>2059</v>
      </c>
      <c r="D152" s="158">
        <f>IF(F151+SUM(E$99:E151)=D$92,F151,D$92-SUM(E$99:E151))</f>
        <v>0</v>
      </c>
      <c r="E152" s="165">
        <f>IF(+J96&lt;F151,J96,D152)</f>
        <v>0</v>
      </c>
      <c r="F152" s="163">
        <f t="shared" si="34"/>
        <v>0</v>
      </c>
      <c r="G152" s="163">
        <f t="shared" si="35"/>
        <v>0</v>
      </c>
      <c r="H152" s="167">
        <f t="shared" si="32"/>
        <v>0</v>
      </c>
      <c r="I152" s="317">
        <f t="shared" si="33"/>
        <v>0</v>
      </c>
      <c r="J152" s="162">
        <f t="shared" si="36"/>
        <v>0</v>
      </c>
      <c r="K152" s="162"/>
      <c r="L152" s="335"/>
      <c r="M152" s="162">
        <f t="shared" si="38"/>
        <v>0</v>
      </c>
      <c r="N152" s="335"/>
      <c r="O152" s="162">
        <f t="shared" si="39"/>
        <v>0</v>
      </c>
      <c r="P152" s="162">
        <f t="shared" si="37"/>
        <v>0</v>
      </c>
    </row>
    <row r="153" spans="2:16">
      <c r="B153" s="9" t="str">
        <f t="shared" si="22"/>
        <v/>
      </c>
      <c r="C153" s="157">
        <f>IF(D93="","-",+C152+1)</f>
        <v>2060</v>
      </c>
      <c r="D153" s="158">
        <f>IF(F152+SUM(E$99:E152)=D$92,F152,D$92-SUM(E$99:E152))</f>
        <v>0</v>
      </c>
      <c r="E153" s="165">
        <f>IF(+J96&lt;F152,J96,D153)</f>
        <v>0</v>
      </c>
      <c r="F153" s="163">
        <f t="shared" si="34"/>
        <v>0</v>
      </c>
      <c r="G153" s="163">
        <f t="shared" si="35"/>
        <v>0</v>
      </c>
      <c r="H153" s="167">
        <f t="shared" si="32"/>
        <v>0</v>
      </c>
      <c r="I153" s="317">
        <f t="shared" si="33"/>
        <v>0</v>
      </c>
      <c r="J153" s="162">
        <f t="shared" si="36"/>
        <v>0</v>
      </c>
      <c r="K153" s="162"/>
      <c r="L153" s="335"/>
      <c r="M153" s="162">
        <f t="shared" si="38"/>
        <v>0</v>
      </c>
      <c r="N153" s="335"/>
      <c r="O153" s="162">
        <f t="shared" si="39"/>
        <v>0</v>
      </c>
      <c r="P153" s="162">
        <f t="shared" si="37"/>
        <v>0</v>
      </c>
    </row>
    <row r="154" spans="2:16" ht="13.5" thickBot="1">
      <c r="B154" s="9" t="str">
        <f t="shared" si="22"/>
        <v/>
      </c>
      <c r="C154" s="168">
        <f>IF(D93="","-",+C153+1)</f>
        <v>2061</v>
      </c>
      <c r="D154" s="219">
        <f>IF(F153+SUM(E$99:E153)=D$92,F153,D$92-SUM(E$99:E153))</f>
        <v>0</v>
      </c>
      <c r="E154" s="377">
        <f>IF(+J96&lt;F153,J96,D154)</f>
        <v>0</v>
      </c>
      <c r="F154" s="169">
        <f t="shared" si="34"/>
        <v>0</v>
      </c>
      <c r="G154" s="169">
        <f t="shared" si="35"/>
        <v>0</v>
      </c>
      <c r="H154" s="171">
        <f t="shared" si="32"/>
        <v>0</v>
      </c>
      <c r="I154" s="318">
        <f t="shared" si="33"/>
        <v>0</v>
      </c>
      <c r="J154" s="173">
        <f t="shared" si="36"/>
        <v>0</v>
      </c>
      <c r="K154" s="162"/>
      <c r="L154" s="336"/>
      <c r="M154" s="173">
        <f t="shared" si="38"/>
        <v>0</v>
      </c>
      <c r="N154" s="336"/>
      <c r="O154" s="173">
        <f t="shared" si="39"/>
        <v>0</v>
      </c>
      <c r="P154" s="173">
        <f t="shared" si="37"/>
        <v>0</v>
      </c>
    </row>
    <row r="155" spans="2:16">
      <c r="C155" s="158" t="s">
        <v>72</v>
      </c>
      <c r="D155" s="115"/>
      <c r="E155" s="115">
        <f>SUM(E99:E154)</f>
        <v>387742</v>
      </c>
      <c r="F155" s="115"/>
      <c r="G155" s="115"/>
      <c r="H155" s="115">
        <f>SUM(H99:H154)</f>
        <v>1442832.5857878914</v>
      </c>
      <c r="I155" s="115">
        <f>SUM(I99:I154)</f>
        <v>1442832.5857878914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143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phoneticPr fontId="0" type="noConversion"/>
  <conditionalFormatting sqref="C17:C72">
    <cfRule type="cellIs" dxfId="52" priority="1" stopIfTrue="1" operator="equal">
      <formula>$I$10</formula>
    </cfRule>
  </conditionalFormatting>
  <conditionalFormatting sqref="C99:C154">
    <cfRule type="cellIs" dxfId="51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ignoredErrors>
    <ignoredError sqref="M101 O10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4"/>
  <dimension ref="A1:P162"/>
  <sheetViews>
    <sheetView view="pageBreakPreview" zoomScale="75" zoomScaleNormal="100" workbookViewId="0">
      <selection activeCell="I25" sqref="I25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252" t="s">
        <v>142</v>
      </c>
      <c r="B1" s="1"/>
      <c r="C1" s="22"/>
      <c r="D1" s="2"/>
      <c r="E1" s="1"/>
      <c r="F1" s="103"/>
      <c r="G1" s="1"/>
      <c r="H1" s="3"/>
      <c r="J1" s="7"/>
      <c r="K1" s="113"/>
      <c r="L1" s="113"/>
      <c r="M1" s="113"/>
      <c r="P1" s="258" t="str">
        <f ca="1">"PSO Project "&amp;RIGHT(MID(CELL("filename",$A$1),FIND("]",CELL("filename",$A$1))+1,256),1)&amp;" of "&amp;COUNT('P.001:P.xyz - blank'!$P$3)-1</f>
        <v>PSO Project 6 of 28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259" t="s">
        <v>145</v>
      </c>
    </row>
    <row r="3" spans="1:16" ht="18.75">
      <c r="B3" s="5" t="s">
        <v>37</v>
      </c>
      <c r="C3" s="71" t="s">
        <v>38</v>
      </c>
      <c r="D3" s="2"/>
      <c r="E3" s="1"/>
      <c r="F3" s="1"/>
      <c r="G3" s="1"/>
      <c r="H3" s="3"/>
      <c r="I3" s="3"/>
      <c r="J3" s="115"/>
      <c r="K3" s="3"/>
      <c r="L3" s="3"/>
      <c r="M3" s="3"/>
      <c r="N3" s="3"/>
      <c r="O3" s="1"/>
      <c r="P3" s="249">
        <v>1</v>
      </c>
    </row>
    <row r="4" spans="1:16" ht="15.75" thickBot="1">
      <c r="C4" s="70"/>
      <c r="D4" s="2"/>
      <c r="E4" s="1"/>
      <c r="F4" s="1"/>
      <c r="G4" s="1"/>
      <c r="H4" s="3"/>
      <c r="I4" s="3"/>
      <c r="J4" s="115"/>
      <c r="K4" s="3"/>
      <c r="L4" s="3"/>
      <c r="M4" s="3"/>
      <c r="N4" s="3"/>
      <c r="O4" s="1"/>
      <c r="P4" s="1"/>
    </row>
    <row r="5" spans="1:16" ht="15">
      <c r="C5" s="116" t="s">
        <v>39</v>
      </c>
      <c r="D5" s="2"/>
      <c r="E5" s="1"/>
      <c r="F5" s="1"/>
      <c r="G5" s="117"/>
      <c r="H5" s="1" t="s">
        <v>40</v>
      </c>
      <c r="I5" s="1"/>
      <c r="J5" s="4"/>
      <c r="K5" s="118" t="s">
        <v>275</v>
      </c>
      <c r="L5" s="119"/>
      <c r="M5" s="120"/>
      <c r="N5" s="121">
        <f>VLOOKUP(I10,C17:I72,5)</f>
        <v>160493.01101346352</v>
      </c>
      <c r="P5" s="1"/>
    </row>
    <row r="6" spans="1:16" ht="15.75">
      <c r="C6" s="8"/>
      <c r="D6" s="2"/>
      <c r="E6" s="1"/>
      <c r="F6" s="1"/>
      <c r="G6" s="1"/>
      <c r="H6" s="122"/>
      <c r="I6" s="122"/>
      <c r="J6" s="123"/>
      <c r="K6" s="124" t="s">
        <v>276</v>
      </c>
      <c r="L6" s="125"/>
      <c r="M6" s="4"/>
      <c r="N6" s="126">
        <f>VLOOKUP(I10,C17:I72,6)</f>
        <v>160493.01101346352</v>
      </c>
      <c r="O6" s="1"/>
      <c r="P6" s="1"/>
    </row>
    <row r="7" spans="1:16" ht="13.5" thickBot="1">
      <c r="C7" s="127" t="s">
        <v>41</v>
      </c>
      <c r="D7" s="270" t="s">
        <v>79</v>
      </c>
      <c r="E7" s="1"/>
      <c r="F7" s="1"/>
      <c r="G7" s="1"/>
      <c r="H7" s="3"/>
      <c r="I7" s="3"/>
      <c r="J7" s="115"/>
      <c r="K7" s="128" t="s">
        <v>42</v>
      </c>
      <c r="L7" s="129"/>
      <c r="M7" s="129"/>
      <c r="N7" s="130">
        <f>+N6-N5</f>
        <v>0</v>
      </c>
      <c r="O7" s="1"/>
      <c r="P7" s="1"/>
    </row>
    <row r="8" spans="1:16" ht="13.5" thickBot="1">
      <c r="C8" s="131"/>
      <c r="D8" s="256"/>
      <c r="E8" s="132"/>
      <c r="F8" s="132"/>
      <c r="G8" s="132"/>
      <c r="H8" s="132"/>
      <c r="I8" s="132"/>
      <c r="J8" s="105"/>
      <c r="K8" s="132"/>
      <c r="L8" s="132"/>
      <c r="M8" s="132"/>
      <c r="N8" s="132"/>
      <c r="O8" s="105"/>
      <c r="P8" s="22"/>
    </row>
    <row r="9" spans="1:16" ht="13.5" thickBot="1">
      <c r="A9" s="107"/>
      <c r="C9" s="133" t="s">
        <v>43</v>
      </c>
      <c r="D9" s="229" t="s">
        <v>80</v>
      </c>
      <c r="E9" s="427" t="s">
        <v>304</v>
      </c>
      <c r="F9" s="134"/>
      <c r="G9" s="134"/>
      <c r="H9" s="134"/>
      <c r="I9" s="135"/>
      <c r="J9" s="136"/>
      <c r="O9" s="137"/>
      <c r="P9" s="4"/>
    </row>
    <row r="10" spans="1:16">
      <c r="C10" s="376" t="s">
        <v>216</v>
      </c>
      <c r="D10" s="138">
        <v>1520502</v>
      </c>
      <c r="E10" s="64" t="s">
        <v>46</v>
      </c>
      <c r="F10" s="137"/>
      <c r="G10" s="139"/>
      <c r="H10" s="139"/>
      <c r="I10" s="140">
        <f>+PSO.WS.F.BPU.ATRR.Projected!L19</f>
        <v>2020</v>
      </c>
      <c r="J10" s="136"/>
      <c r="K10" s="115" t="s">
        <v>47</v>
      </c>
      <c r="O10" s="4"/>
      <c r="P10" s="4"/>
    </row>
    <row r="11" spans="1:16">
      <c r="C11" s="141" t="s">
        <v>48</v>
      </c>
      <c r="D11" s="142">
        <v>2008</v>
      </c>
      <c r="E11" s="141" t="s">
        <v>49</v>
      </c>
      <c r="F11" s="139"/>
      <c r="G11" s="7"/>
      <c r="H11" s="7"/>
      <c r="I11" s="143">
        <f>IF(G5="",0,PSO.WS.F.BPU.ATRR.Projected!F$13)</f>
        <v>0</v>
      </c>
      <c r="J11" s="144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141" t="s">
        <v>50</v>
      </c>
      <c r="D12" s="138">
        <v>4</v>
      </c>
      <c r="E12" s="141" t="s">
        <v>51</v>
      </c>
      <c r="F12" s="139"/>
      <c r="G12" s="7"/>
      <c r="H12" s="7"/>
      <c r="I12" s="145">
        <f>PSO.WS.F.BPU.ATRR.Projected!$F$81</f>
        <v>0.10800477690995318</v>
      </c>
      <c r="J12" s="146"/>
      <c r="K12" t="s">
        <v>52</v>
      </c>
      <c r="O12" s="4"/>
      <c r="P12" s="4"/>
    </row>
    <row r="13" spans="1:16">
      <c r="C13" s="141" t="s">
        <v>53</v>
      </c>
      <c r="D13" s="143">
        <f>+PSO.WS.F.BPU.ATRR.Projected!F$93</f>
        <v>42</v>
      </c>
      <c r="E13" s="141" t="s">
        <v>54</v>
      </c>
      <c r="F13" s="139"/>
      <c r="G13" s="7"/>
      <c r="H13" s="7"/>
      <c r="I13" s="145">
        <f>IF(G5="",I12,PSO.WS.F.BPU.ATRR.Projected!$F$80)</f>
        <v>0.10800477690995318</v>
      </c>
      <c r="J13" s="146"/>
      <c r="K13" s="115" t="s">
        <v>55</v>
      </c>
      <c r="L13" s="61"/>
      <c r="M13" s="61"/>
      <c r="N13" s="61"/>
      <c r="O13" s="4"/>
      <c r="P13" s="4"/>
    </row>
    <row r="14" spans="1:16" ht="13.5" thickBot="1">
      <c r="C14" s="141" t="s">
        <v>56</v>
      </c>
      <c r="D14" s="142" t="s">
        <v>57</v>
      </c>
      <c r="E14" s="4" t="s">
        <v>58</v>
      </c>
      <c r="F14" s="139"/>
      <c r="G14" s="7"/>
      <c r="H14" s="7"/>
      <c r="I14" s="147">
        <f>IF(D10=0,0,D10/D13)</f>
        <v>36202.428571428572</v>
      </c>
      <c r="J14" s="115"/>
      <c r="K14" s="115"/>
      <c r="L14" s="115"/>
      <c r="M14" s="115"/>
      <c r="N14" s="115"/>
      <c r="O14" s="4"/>
      <c r="P14" s="4"/>
    </row>
    <row r="15" spans="1:16" ht="38.25">
      <c r="C15" s="148" t="s">
        <v>45</v>
      </c>
      <c r="D15" s="149" t="s">
        <v>59</v>
      </c>
      <c r="E15" s="149" t="s">
        <v>60</v>
      </c>
      <c r="F15" s="149" t="s">
        <v>61</v>
      </c>
      <c r="G15" s="361" t="s">
        <v>277</v>
      </c>
      <c r="H15" s="362" t="s">
        <v>278</v>
      </c>
      <c r="I15" s="148" t="s">
        <v>62</v>
      </c>
      <c r="J15" s="150"/>
      <c r="K15" s="339" t="s">
        <v>197</v>
      </c>
      <c r="L15" s="340" t="s">
        <v>63</v>
      </c>
      <c r="M15" s="339" t="s">
        <v>197</v>
      </c>
      <c r="N15" s="340" t="s">
        <v>63</v>
      </c>
      <c r="O15" s="151" t="s">
        <v>64</v>
      </c>
      <c r="P15" s="4"/>
    </row>
    <row r="16" spans="1:16" ht="13.5" thickBot="1">
      <c r="C16" s="152" t="s">
        <v>65</v>
      </c>
      <c r="D16" s="152" t="s">
        <v>66</v>
      </c>
      <c r="E16" s="152" t="s">
        <v>67</v>
      </c>
      <c r="F16" s="152" t="s">
        <v>66</v>
      </c>
      <c r="G16" s="320" t="s">
        <v>68</v>
      </c>
      <c r="H16" s="153" t="s">
        <v>69</v>
      </c>
      <c r="I16" s="154" t="s">
        <v>99</v>
      </c>
      <c r="J16" s="155" t="s">
        <v>70</v>
      </c>
      <c r="K16" s="156" t="s">
        <v>71</v>
      </c>
      <c r="L16" s="341" t="s">
        <v>71</v>
      </c>
      <c r="M16" s="156" t="s">
        <v>100</v>
      </c>
      <c r="N16" s="342" t="s">
        <v>100</v>
      </c>
      <c r="O16" s="156" t="s">
        <v>100</v>
      </c>
      <c r="P16" s="4"/>
    </row>
    <row r="17" spans="2:16">
      <c r="B17" s="9"/>
      <c r="C17" s="157">
        <f>IF(D11= "","-",D11)</f>
        <v>2008</v>
      </c>
      <c r="D17" s="366">
        <v>1520473</v>
      </c>
      <c r="E17" s="367">
        <v>19125</v>
      </c>
      <c r="F17" s="366">
        <v>1501348</v>
      </c>
      <c r="G17" s="367">
        <v>0</v>
      </c>
      <c r="H17" s="370">
        <v>0</v>
      </c>
      <c r="I17" s="160">
        <f t="shared" ref="I17:I48" si="0">H17-G17</f>
        <v>0</v>
      </c>
      <c r="J17" s="160"/>
      <c r="K17" s="337">
        <v>0</v>
      </c>
      <c r="L17" s="161">
        <f t="shared" ref="L17:L48" si="1">IF(K17&lt;&gt;0,+G17-K17,0)</f>
        <v>0</v>
      </c>
      <c r="M17" s="337">
        <v>0</v>
      </c>
      <c r="N17" s="161">
        <f t="shared" ref="N17:N48" si="2">IF(M17&lt;&gt;0,+H17-M17,0)</f>
        <v>0</v>
      </c>
      <c r="O17" s="162">
        <f t="shared" ref="O17:O48" si="3">+N17-L17</f>
        <v>0</v>
      </c>
      <c r="P17" s="4"/>
    </row>
    <row r="18" spans="2:16">
      <c r="B18" s="9" t="str">
        <f>IF(D18=F17,"","IU")</f>
        <v/>
      </c>
      <c r="C18" s="157">
        <f>IF(D11="","-",+C17+1)</f>
        <v>2009</v>
      </c>
      <c r="D18" s="371">
        <v>1501348</v>
      </c>
      <c r="E18" s="368">
        <v>28688</v>
      </c>
      <c r="F18" s="371">
        <v>1472660</v>
      </c>
      <c r="G18" s="368">
        <v>254309</v>
      </c>
      <c r="H18" s="370">
        <v>254309</v>
      </c>
      <c r="I18" s="160">
        <f t="shared" si="0"/>
        <v>0</v>
      </c>
      <c r="J18" s="160"/>
      <c r="K18" s="338">
        <v>254309</v>
      </c>
      <c r="L18" s="162">
        <f t="shared" si="1"/>
        <v>0</v>
      </c>
      <c r="M18" s="338">
        <v>254309</v>
      </c>
      <c r="N18" s="162">
        <f t="shared" si="2"/>
        <v>0</v>
      </c>
      <c r="O18" s="162">
        <f t="shared" si="3"/>
        <v>0</v>
      </c>
      <c r="P18" s="4"/>
    </row>
    <row r="19" spans="2:16">
      <c r="B19" s="9" t="str">
        <f>IF(D19=F18,"","IU")</f>
        <v>IU</v>
      </c>
      <c r="C19" s="157">
        <f>IF(D11="","-",+C18+1)</f>
        <v>2010</v>
      </c>
      <c r="D19" s="371">
        <v>1472689</v>
      </c>
      <c r="E19" s="368">
        <v>27151.821428571428</v>
      </c>
      <c r="F19" s="371">
        <v>1445537.1785714286</v>
      </c>
      <c r="G19" s="368">
        <v>235737.79751815079</v>
      </c>
      <c r="H19" s="370">
        <v>235737.79751815079</v>
      </c>
      <c r="I19" s="160">
        <f t="shared" si="0"/>
        <v>0</v>
      </c>
      <c r="J19" s="160"/>
      <c r="K19" s="380">
        <f t="shared" ref="K19:K24" si="4">G19</f>
        <v>235737.79751815079</v>
      </c>
      <c r="L19" s="381">
        <f t="shared" si="1"/>
        <v>0</v>
      </c>
      <c r="M19" s="380">
        <f t="shared" ref="M19:M24" si="5">H19</f>
        <v>235737.79751815079</v>
      </c>
      <c r="N19" s="162">
        <f t="shared" si="2"/>
        <v>0</v>
      </c>
      <c r="O19" s="162">
        <f t="shared" si="3"/>
        <v>0</v>
      </c>
      <c r="P19" s="4"/>
    </row>
    <row r="20" spans="2:16">
      <c r="B20" s="9" t="str">
        <f t="shared" ref="B20:B72" si="6">IF(D20=F19,"","IU")</f>
        <v/>
      </c>
      <c r="C20" s="157">
        <f>IF(D11="","-",+C19+1)</f>
        <v>2011</v>
      </c>
      <c r="D20" s="371">
        <v>1445537.1785714286</v>
      </c>
      <c r="E20" s="368">
        <v>29813.764705882353</v>
      </c>
      <c r="F20" s="371">
        <v>1415723.4138655462</v>
      </c>
      <c r="G20" s="368">
        <v>251435.83921239444</v>
      </c>
      <c r="H20" s="370">
        <v>251435.83921239444</v>
      </c>
      <c r="I20" s="160">
        <f t="shared" si="0"/>
        <v>0</v>
      </c>
      <c r="J20" s="160"/>
      <c r="K20" s="338">
        <f t="shared" si="4"/>
        <v>251435.83921239444</v>
      </c>
      <c r="L20" s="272">
        <f t="shared" si="1"/>
        <v>0</v>
      </c>
      <c r="M20" s="338">
        <f t="shared" si="5"/>
        <v>251435.83921239444</v>
      </c>
      <c r="N20" s="162">
        <f t="shared" si="2"/>
        <v>0</v>
      </c>
      <c r="O20" s="162">
        <f t="shared" si="3"/>
        <v>0</v>
      </c>
      <c r="P20" s="4"/>
    </row>
    <row r="21" spans="2:16">
      <c r="B21" s="9" t="str">
        <f t="shared" si="6"/>
        <v/>
      </c>
      <c r="C21" s="157">
        <f>IF(D11="","-",+C20+1)</f>
        <v>2012</v>
      </c>
      <c r="D21" s="371">
        <v>1415723.4138655462</v>
      </c>
      <c r="E21" s="368">
        <v>29240.423076923078</v>
      </c>
      <c r="F21" s="371">
        <v>1386482.9907886232</v>
      </c>
      <c r="G21" s="368">
        <v>222248.1918516063</v>
      </c>
      <c r="H21" s="370">
        <v>222248.1918516063</v>
      </c>
      <c r="I21" s="160">
        <f t="shared" si="0"/>
        <v>0</v>
      </c>
      <c r="J21" s="160"/>
      <c r="K21" s="338">
        <f t="shared" si="4"/>
        <v>222248.1918516063</v>
      </c>
      <c r="L21" s="272">
        <f t="shared" si="1"/>
        <v>0</v>
      </c>
      <c r="M21" s="338">
        <f t="shared" si="5"/>
        <v>222248.1918516063</v>
      </c>
      <c r="N21" s="162">
        <f t="shared" si="2"/>
        <v>0</v>
      </c>
      <c r="O21" s="162">
        <f t="shared" si="3"/>
        <v>0</v>
      </c>
      <c r="P21" s="4"/>
    </row>
    <row r="22" spans="2:16">
      <c r="B22" s="9" t="str">
        <f t="shared" si="6"/>
        <v/>
      </c>
      <c r="C22" s="157">
        <f>IF(D11="","-",+C21+1)</f>
        <v>2013</v>
      </c>
      <c r="D22" s="371">
        <v>1386482.9907886232</v>
      </c>
      <c r="E22" s="368">
        <v>29240.423076923078</v>
      </c>
      <c r="F22" s="371">
        <v>1357242.5677117002</v>
      </c>
      <c r="G22" s="368">
        <v>223063.83719618269</v>
      </c>
      <c r="H22" s="370">
        <v>223063.83719618269</v>
      </c>
      <c r="I22" s="160">
        <v>0</v>
      </c>
      <c r="J22" s="160"/>
      <c r="K22" s="338">
        <f t="shared" si="4"/>
        <v>223063.83719618269</v>
      </c>
      <c r="L22" s="272">
        <f t="shared" ref="L22:L27" si="7">IF(K22&lt;&gt;0,+G22-K22,0)</f>
        <v>0</v>
      </c>
      <c r="M22" s="338">
        <f t="shared" si="5"/>
        <v>223063.83719618269</v>
      </c>
      <c r="N22" s="162">
        <f t="shared" ref="N22:N27" si="8">IF(M22&lt;&gt;0,+H22-M22,0)</f>
        <v>0</v>
      </c>
      <c r="O22" s="162">
        <f t="shared" ref="O22:O27" si="9">+N22-L22</f>
        <v>0</v>
      </c>
      <c r="P22" s="4"/>
    </row>
    <row r="23" spans="2:16">
      <c r="B23" s="9" t="str">
        <f t="shared" si="6"/>
        <v/>
      </c>
      <c r="C23" s="157">
        <f>IF(D11="","-",+C22+1)</f>
        <v>2014</v>
      </c>
      <c r="D23" s="371">
        <v>1357242.5677117002</v>
      </c>
      <c r="E23" s="368">
        <v>29240.423076923078</v>
      </c>
      <c r="F23" s="371">
        <v>1328002.1446347772</v>
      </c>
      <c r="G23" s="368">
        <v>212051.56179808528</v>
      </c>
      <c r="H23" s="370">
        <v>212051.56179808528</v>
      </c>
      <c r="I23" s="160">
        <v>0</v>
      </c>
      <c r="J23" s="160"/>
      <c r="K23" s="338">
        <f t="shared" si="4"/>
        <v>212051.56179808528</v>
      </c>
      <c r="L23" s="272">
        <f t="shared" si="7"/>
        <v>0</v>
      </c>
      <c r="M23" s="338">
        <f t="shared" si="5"/>
        <v>212051.56179808528</v>
      </c>
      <c r="N23" s="162">
        <f t="shared" si="8"/>
        <v>0</v>
      </c>
      <c r="O23" s="162">
        <f t="shared" si="9"/>
        <v>0</v>
      </c>
      <c r="P23" s="4"/>
    </row>
    <row r="24" spans="2:16">
      <c r="B24" s="9" t="str">
        <f t="shared" si="6"/>
        <v/>
      </c>
      <c r="C24" s="157">
        <f>IF(D11="","-",+C23+1)</f>
        <v>2015</v>
      </c>
      <c r="D24" s="371">
        <v>1328002.1446347772</v>
      </c>
      <c r="E24" s="368">
        <v>29240.423076923078</v>
      </c>
      <c r="F24" s="371">
        <v>1298761.7215578542</v>
      </c>
      <c r="G24" s="368">
        <v>208302.85337289202</v>
      </c>
      <c r="H24" s="370">
        <v>208302.85337289202</v>
      </c>
      <c r="I24" s="160">
        <v>0</v>
      </c>
      <c r="J24" s="160"/>
      <c r="K24" s="338">
        <f t="shared" si="4"/>
        <v>208302.85337289202</v>
      </c>
      <c r="L24" s="272">
        <f t="shared" si="7"/>
        <v>0</v>
      </c>
      <c r="M24" s="338">
        <f t="shared" si="5"/>
        <v>208302.85337289202</v>
      </c>
      <c r="N24" s="162">
        <f t="shared" si="8"/>
        <v>0</v>
      </c>
      <c r="O24" s="162">
        <f t="shared" si="9"/>
        <v>0</v>
      </c>
      <c r="P24" s="4"/>
    </row>
    <row r="25" spans="2:16">
      <c r="B25" s="9" t="str">
        <f t="shared" si="6"/>
        <v/>
      </c>
      <c r="C25" s="157">
        <f>IF(D11="","-",+C24+1)</f>
        <v>2016</v>
      </c>
      <c r="D25" s="371">
        <v>1298761.7215578542</v>
      </c>
      <c r="E25" s="368">
        <v>29240.423076923078</v>
      </c>
      <c r="F25" s="371">
        <v>1269521.2984809312</v>
      </c>
      <c r="G25" s="368">
        <v>195750.37197477801</v>
      </c>
      <c r="H25" s="370">
        <v>195750.37197477801</v>
      </c>
      <c r="I25" s="160">
        <f t="shared" si="0"/>
        <v>0</v>
      </c>
      <c r="J25" s="160"/>
      <c r="K25" s="338">
        <f>G25</f>
        <v>195750.37197477801</v>
      </c>
      <c r="L25" s="272">
        <f t="shared" si="7"/>
        <v>0</v>
      </c>
      <c r="M25" s="338">
        <f>H25</f>
        <v>195750.37197477801</v>
      </c>
      <c r="N25" s="162">
        <f t="shared" si="8"/>
        <v>0</v>
      </c>
      <c r="O25" s="162">
        <f t="shared" si="9"/>
        <v>0</v>
      </c>
      <c r="P25" s="4"/>
    </row>
    <row r="26" spans="2:16">
      <c r="B26" s="9" t="str">
        <f t="shared" si="6"/>
        <v/>
      </c>
      <c r="C26" s="157">
        <f>IF(D11="","-",+C25+1)</f>
        <v>2017</v>
      </c>
      <c r="D26" s="371">
        <v>1269521.2984809312</v>
      </c>
      <c r="E26" s="368">
        <v>33054.391304347824</v>
      </c>
      <c r="F26" s="371">
        <v>1236466.9071765833</v>
      </c>
      <c r="G26" s="368">
        <v>190407.97943741584</v>
      </c>
      <c r="H26" s="370">
        <v>190407.97943741584</v>
      </c>
      <c r="I26" s="160">
        <v>0</v>
      </c>
      <c r="J26" s="160"/>
      <c r="K26" s="338">
        <f>G26</f>
        <v>190407.97943741584</v>
      </c>
      <c r="L26" s="272">
        <f t="shared" si="7"/>
        <v>0</v>
      </c>
      <c r="M26" s="338">
        <f>H26</f>
        <v>190407.97943741584</v>
      </c>
      <c r="N26" s="162">
        <f t="shared" si="8"/>
        <v>0</v>
      </c>
      <c r="O26" s="162">
        <f t="shared" si="9"/>
        <v>0</v>
      </c>
      <c r="P26" s="4"/>
    </row>
    <row r="27" spans="2:16">
      <c r="B27" s="9" t="str">
        <f t="shared" si="6"/>
        <v/>
      </c>
      <c r="C27" s="157">
        <f>IF(D11="","-",+C26+1)</f>
        <v>2018</v>
      </c>
      <c r="D27" s="371">
        <v>1236466.9071765833</v>
      </c>
      <c r="E27" s="368">
        <v>33788.933333333334</v>
      </c>
      <c r="F27" s="371">
        <v>1202677.97384325</v>
      </c>
      <c r="G27" s="368">
        <v>196553.85018087178</v>
      </c>
      <c r="H27" s="370">
        <v>196553.85018087178</v>
      </c>
      <c r="I27" s="160">
        <f t="shared" si="0"/>
        <v>0</v>
      </c>
      <c r="J27" s="160"/>
      <c r="K27" s="338">
        <f>G27</f>
        <v>196553.85018087178</v>
      </c>
      <c r="L27" s="272">
        <f t="shared" si="7"/>
        <v>0</v>
      </c>
      <c r="M27" s="338">
        <f>H27</f>
        <v>196553.85018087178</v>
      </c>
      <c r="N27" s="162">
        <f t="shared" si="8"/>
        <v>0</v>
      </c>
      <c r="O27" s="162">
        <f t="shared" si="9"/>
        <v>0</v>
      </c>
      <c r="P27" s="4"/>
    </row>
    <row r="28" spans="2:16">
      <c r="B28" s="9" t="str">
        <f t="shared" si="6"/>
        <v/>
      </c>
      <c r="C28" s="157">
        <f>IF(D11="","-",+C27+1)</f>
        <v>2019</v>
      </c>
      <c r="D28" s="371">
        <v>1202677.97384325</v>
      </c>
      <c r="E28" s="368">
        <v>33788.933333333334</v>
      </c>
      <c r="F28" s="371">
        <v>1168889.0405099166</v>
      </c>
      <c r="G28" s="368">
        <v>191981.01103026158</v>
      </c>
      <c r="H28" s="370">
        <v>191981.01103026158</v>
      </c>
      <c r="I28" s="160">
        <f t="shared" si="0"/>
        <v>0</v>
      </c>
      <c r="J28" s="160"/>
      <c r="K28" s="338">
        <f>G28</f>
        <v>191981.01103026158</v>
      </c>
      <c r="L28" s="272">
        <f t="shared" ref="L28" si="10">IF(K28&lt;&gt;0,+G28-K28,0)</f>
        <v>0</v>
      </c>
      <c r="M28" s="338">
        <f>H28</f>
        <v>191981.01103026158</v>
      </c>
      <c r="N28" s="162">
        <f t="shared" ref="N28" si="11">IF(M28&lt;&gt;0,+H28-M28,0)</f>
        <v>0</v>
      </c>
      <c r="O28" s="162">
        <f t="shared" si="3"/>
        <v>0</v>
      </c>
      <c r="P28" s="4"/>
    </row>
    <row r="29" spans="2:16">
      <c r="B29" s="9" t="str">
        <f t="shared" si="6"/>
        <v/>
      </c>
      <c r="C29" s="157">
        <f>IF(D11="","-",+C28+1)</f>
        <v>2020</v>
      </c>
      <c r="D29" s="163">
        <f>IF(F28+SUM(E$17:E28)=D$10,F28,D$10-SUM(E$17:E28))</f>
        <v>1168889.0405099166</v>
      </c>
      <c r="E29" s="164">
        <f>IF(+I14&lt;F28,I14,D29)</f>
        <v>36202.428571428572</v>
      </c>
      <c r="F29" s="163">
        <f t="shared" ref="F29:F48" si="12">+D29-E29</f>
        <v>1132686.611938488</v>
      </c>
      <c r="G29" s="165">
        <f t="shared" ref="G29:G72" si="13">(D29+F29)/2*I$12+E29</f>
        <v>160493.01101346352</v>
      </c>
      <c r="H29" s="147">
        <f t="shared" ref="H29:H72" si="14">+(D29+F29)/2*I$13+E29</f>
        <v>160493.01101346352</v>
      </c>
      <c r="I29" s="160">
        <f t="shared" si="0"/>
        <v>0</v>
      </c>
      <c r="J29" s="160"/>
      <c r="K29" s="335"/>
      <c r="L29" s="162">
        <f t="shared" si="1"/>
        <v>0</v>
      </c>
      <c r="M29" s="335"/>
      <c r="N29" s="162">
        <f t="shared" si="2"/>
        <v>0</v>
      </c>
      <c r="O29" s="162">
        <f t="shared" si="3"/>
        <v>0</v>
      </c>
      <c r="P29" s="4"/>
    </row>
    <row r="30" spans="2:16">
      <c r="B30" s="9" t="str">
        <f t="shared" si="6"/>
        <v/>
      </c>
      <c r="C30" s="157">
        <f>IF(D11="","-",+C29+1)</f>
        <v>2021</v>
      </c>
      <c r="D30" s="163">
        <f>IF(F29+SUM(E$17:E29)=D$10,F29,D$10-SUM(E$17:E29))</f>
        <v>1132686.611938488</v>
      </c>
      <c r="E30" s="164">
        <f>IF(+I14&lt;F29,I14,D30)</f>
        <v>36202.428571428572</v>
      </c>
      <c r="F30" s="163">
        <f t="shared" si="12"/>
        <v>1096484.1833670593</v>
      </c>
      <c r="G30" s="165">
        <f t="shared" si="13"/>
        <v>156582.97579200784</v>
      </c>
      <c r="H30" s="147">
        <f t="shared" si="14"/>
        <v>156582.97579200784</v>
      </c>
      <c r="I30" s="160">
        <f t="shared" si="0"/>
        <v>0</v>
      </c>
      <c r="J30" s="160"/>
      <c r="K30" s="335"/>
      <c r="L30" s="162">
        <f t="shared" si="1"/>
        <v>0</v>
      </c>
      <c r="M30" s="335"/>
      <c r="N30" s="162">
        <f t="shared" si="2"/>
        <v>0</v>
      </c>
      <c r="O30" s="162">
        <f t="shared" si="3"/>
        <v>0</v>
      </c>
      <c r="P30" s="4"/>
    </row>
    <row r="31" spans="2:16">
      <c r="B31" s="9" t="str">
        <f t="shared" si="6"/>
        <v/>
      </c>
      <c r="C31" s="157">
        <f>IF(D11="","-",+C30+1)</f>
        <v>2022</v>
      </c>
      <c r="D31" s="163">
        <f>IF(F30+SUM(E$17:E30)=D$10,F30,D$10-SUM(E$17:E30))</f>
        <v>1096484.1833670593</v>
      </c>
      <c r="E31" s="164">
        <f>IF(+I14&lt;F30,I14,D31)</f>
        <v>36202.428571428572</v>
      </c>
      <c r="F31" s="163">
        <f t="shared" si="12"/>
        <v>1060281.7547956307</v>
      </c>
      <c r="G31" s="165">
        <f t="shared" si="13"/>
        <v>152672.94057055216</v>
      </c>
      <c r="H31" s="147">
        <f t="shared" si="14"/>
        <v>152672.94057055216</v>
      </c>
      <c r="I31" s="160">
        <f t="shared" si="0"/>
        <v>0</v>
      </c>
      <c r="J31" s="160"/>
      <c r="K31" s="335"/>
      <c r="L31" s="162">
        <f t="shared" si="1"/>
        <v>0</v>
      </c>
      <c r="M31" s="335"/>
      <c r="N31" s="162">
        <f t="shared" si="2"/>
        <v>0</v>
      </c>
      <c r="O31" s="162">
        <f t="shared" si="3"/>
        <v>0</v>
      </c>
      <c r="P31" s="4"/>
    </row>
    <row r="32" spans="2:16">
      <c r="B32" s="9" t="str">
        <f t="shared" si="6"/>
        <v/>
      </c>
      <c r="C32" s="157">
        <f>IF(D11="","-",+C31+1)</f>
        <v>2023</v>
      </c>
      <c r="D32" s="163">
        <f>IF(F31+SUM(E$17:E31)=D$10,F31,D$10-SUM(E$17:E31))</f>
        <v>1060281.7547956307</v>
      </c>
      <c r="E32" s="164">
        <f>IF(+I14&lt;F31,I14,D32)</f>
        <v>36202.428571428572</v>
      </c>
      <c r="F32" s="163">
        <f t="shared" si="12"/>
        <v>1024079.3262242022</v>
      </c>
      <c r="G32" s="165">
        <f t="shared" si="13"/>
        <v>148762.90534909652</v>
      </c>
      <c r="H32" s="147">
        <f t="shared" si="14"/>
        <v>148762.90534909652</v>
      </c>
      <c r="I32" s="160">
        <f t="shared" si="0"/>
        <v>0</v>
      </c>
      <c r="J32" s="160"/>
      <c r="K32" s="335"/>
      <c r="L32" s="162">
        <f t="shared" si="1"/>
        <v>0</v>
      </c>
      <c r="M32" s="335"/>
      <c r="N32" s="162">
        <f t="shared" si="2"/>
        <v>0</v>
      </c>
      <c r="O32" s="162">
        <f t="shared" si="3"/>
        <v>0</v>
      </c>
      <c r="P32" s="4"/>
    </row>
    <row r="33" spans="2:16">
      <c r="B33" s="9" t="str">
        <f t="shared" si="6"/>
        <v/>
      </c>
      <c r="C33" s="157">
        <f>IF(D11="","-",+C32+1)</f>
        <v>2024</v>
      </c>
      <c r="D33" s="163">
        <f>IF(F32+SUM(E$17:E32)=D$10,F32,D$10-SUM(E$17:E32))</f>
        <v>1024079.3262242022</v>
      </c>
      <c r="E33" s="164">
        <f>IF(+I14&lt;F32,I14,D33)</f>
        <v>36202.428571428572</v>
      </c>
      <c r="F33" s="163">
        <f t="shared" si="12"/>
        <v>987876.89765277365</v>
      </c>
      <c r="G33" s="165">
        <f t="shared" si="13"/>
        <v>144852.87012764087</v>
      </c>
      <c r="H33" s="147">
        <f t="shared" si="14"/>
        <v>144852.87012764087</v>
      </c>
      <c r="I33" s="160">
        <f t="shared" si="0"/>
        <v>0</v>
      </c>
      <c r="J33" s="160"/>
      <c r="K33" s="335"/>
      <c r="L33" s="162">
        <f t="shared" si="1"/>
        <v>0</v>
      </c>
      <c r="M33" s="335"/>
      <c r="N33" s="162">
        <f t="shared" si="2"/>
        <v>0</v>
      </c>
      <c r="O33" s="162">
        <f t="shared" si="3"/>
        <v>0</v>
      </c>
      <c r="P33" s="4"/>
    </row>
    <row r="34" spans="2:16">
      <c r="B34" s="9" t="str">
        <f t="shared" si="6"/>
        <v/>
      </c>
      <c r="C34" s="157">
        <f>IF(D11="","-",+C33+1)</f>
        <v>2025</v>
      </c>
      <c r="D34" s="163">
        <f>IF(F33+SUM(E$17:E33)=D$10,F33,D$10-SUM(E$17:E33))</f>
        <v>987876.89765277365</v>
      </c>
      <c r="E34" s="164">
        <f>IF(+I14&lt;F33,I14,D34)</f>
        <v>36202.428571428572</v>
      </c>
      <c r="F34" s="163">
        <f t="shared" si="12"/>
        <v>951674.46908134513</v>
      </c>
      <c r="G34" s="165">
        <f t="shared" si="13"/>
        <v>140942.83490618522</v>
      </c>
      <c r="H34" s="147">
        <f t="shared" si="14"/>
        <v>140942.83490618522</v>
      </c>
      <c r="I34" s="160">
        <f t="shared" si="0"/>
        <v>0</v>
      </c>
      <c r="J34" s="160"/>
      <c r="K34" s="335"/>
      <c r="L34" s="162">
        <f t="shared" si="1"/>
        <v>0</v>
      </c>
      <c r="M34" s="335"/>
      <c r="N34" s="162">
        <f t="shared" si="2"/>
        <v>0</v>
      </c>
      <c r="O34" s="162">
        <f t="shared" si="3"/>
        <v>0</v>
      </c>
      <c r="P34" s="4"/>
    </row>
    <row r="35" spans="2:16">
      <c r="B35" s="9" t="str">
        <f t="shared" si="6"/>
        <v/>
      </c>
      <c r="C35" s="157">
        <f>IF(D11="","-",+C34+1)</f>
        <v>2026</v>
      </c>
      <c r="D35" s="163">
        <f>IF(F34+SUM(E$17:E34)=D$10,F34,D$10-SUM(E$17:E34))</f>
        <v>951674.46908134513</v>
      </c>
      <c r="E35" s="164">
        <f>IF(+I14&lt;F34,I14,D35)</f>
        <v>36202.428571428572</v>
      </c>
      <c r="F35" s="163">
        <f t="shared" si="12"/>
        <v>915472.04050991661</v>
      </c>
      <c r="G35" s="165">
        <f t="shared" si="13"/>
        <v>137032.79968472957</v>
      </c>
      <c r="H35" s="147">
        <f t="shared" si="14"/>
        <v>137032.79968472957</v>
      </c>
      <c r="I35" s="160">
        <f t="shared" si="0"/>
        <v>0</v>
      </c>
      <c r="J35" s="160"/>
      <c r="K35" s="335"/>
      <c r="L35" s="162">
        <f t="shared" si="1"/>
        <v>0</v>
      </c>
      <c r="M35" s="335"/>
      <c r="N35" s="162">
        <f t="shared" si="2"/>
        <v>0</v>
      </c>
      <c r="O35" s="162">
        <f t="shared" si="3"/>
        <v>0</v>
      </c>
      <c r="P35" s="4"/>
    </row>
    <row r="36" spans="2:16">
      <c r="B36" s="9" t="str">
        <f t="shared" si="6"/>
        <v/>
      </c>
      <c r="C36" s="157">
        <f>IF(D11="","-",+C35+1)</f>
        <v>2027</v>
      </c>
      <c r="D36" s="163">
        <f>IF(F35+SUM(E$17:E35)=D$10,F35,D$10-SUM(E$17:E35))</f>
        <v>915472.04050991661</v>
      </c>
      <c r="E36" s="164">
        <f>IF(+I14&lt;F35,I14,D36)</f>
        <v>36202.428571428572</v>
      </c>
      <c r="F36" s="163">
        <f t="shared" si="12"/>
        <v>879269.61193848809</v>
      </c>
      <c r="G36" s="165">
        <f t="shared" si="13"/>
        <v>133122.7644632739</v>
      </c>
      <c r="H36" s="147">
        <f t="shared" si="14"/>
        <v>133122.7644632739</v>
      </c>
      <c r="I36" s="160">
        <f t="shared" si="0"/>
        <v>0</v>
      </c>
      <c r="J36" s="160"/>
      <c r="K36" s="335"/>
      <c r="L36" s="162">
        <f t="shared" si="1"/>
        <v>0</v>
      </c>
      <c r="M36" s="335"/>
      <c r="N36" s="162">
        <f t="shared" si="2"/>
        <v>0</v>
      </c>
      <c r="O36" s="162">
        <f t="shared" si="3"/>
        <v>0</v>
      </c>
      <c r="P36" s="4"/>
    </row>
    <row r="37" spans="2:16">
      <c r="B37" s="9" t="str">
        <f t="shared" si="6"/>
        <v/>
      </c>
      <c r="C37" s="157">
        <f>IF(D11="","-",+C36+1)</f>
        <v>2028</v>
      </c>
      <c r="D37" s="163">
        <f>IF(F36+SUM(E$17:E36)=D$10,F36,D$10-SUM(E$17:E36))</f>
        <v>879269.61193848809</v>
      </c>
      <c r="E37" s="164">
        <f>IF(+I14&lt;F36,I14,D37)</f>
        <v>36202.428571428572</v>
      </c>
      <c r="F37" s="163">
        <f t="shared" si="12"/>
        <v>843067.18336705957</v>
      </c>
      <c r="G37" s="165">
        <f t="shared" si="13"/>
        <v>129212.72924181828</v>
      </c>
      <c r="H37" s="147">
        <f t="shared" si="14"/>
        <v>129212.72924181828</v>
      </c>
      <c r="I37" s="160">
        <f t="shared" si="0"/>
        <v>0</v>
      </c>
      <c r="J37" s="160"/>
      <c r="K37" s="335"/>
      <c r="L37" s="162">
        <f t="shared" si="1"/>
        <v>0</v>
      </c>
      <c r="M37" s="335"/>
      <c r="N37" s="162">
        <f t="shared" si="2"/>
        <v>0</v>
      </c>
      <c r="O37" s="162">
        <f t="shared" si="3"/>
        <v>0</v>
      </c>
      <c r="P37" s="4"/>
    </row>
    <row r="38" spans="2:16">
      <c r="B38" s="9" t="str">
        <f t="shared" si="6"/>
        <v/>
      </c>
      <c r="C38" s="157">
        <f>IF(D11="","-",+C37+1)</f>
        <v>2029</v>
      </c>
      <c r="D38" s="163">
        <f>IF(F37+SUM(E$17:E37)=D$10,F37,D$10-SUM(E$17:E37))</f>
        <v>843067.18336705957</v>
      </c>
      <c r="E38" s="164">
        <f>IF(+I14&lt;F37,I14,D38)</f>
        <v>36202.428571428572</v>
      </c>
      <c r="F38" s="163">
        <f t="shared" si="12"/>
        <v>806864.75479563104</v>
      </c>
      <c r="G38" s="165">
        <f t="shared" si="13"/>
        <v>125302.6940203626</v>
      </c>
      <c r="H38" s="147">
        <f t="shared" si="14"/>
        <v>125302.6940203626</v>
      </c>
      <c r="I38" s="160">
        <f t="shared" si="0"/>
        <v>0</v>
      </c>
      <c r="J38" s="160"/>
      <c r="K38" s="335"/>
      <c r="L38" s="162">
        <f t="shared" si="1"/>
        <v>0</v>
      </c>
      <c r="M38" s="335"/>
      <c r="N38" s="162">
        <f t="shared" si="2"/>
        <v>0</v>
      </c>
      <c r="O38" s="162">
        <f t="shared" si="3"/>
        <v>0</v>
      </c>
      <c r="P38" s="4"/>
    </row>
    <row r="39" spans="2:16">
      <c r="B39" s="9" t="str">
        <f t="shared" si="6"/>
        <v/>
      </c>
      <c r="C39" s="157">
        <f>IF(D11="","-",+C38+1)</f>
        <v>2030</v>
      </c>
      <c r="D39" s="163">
        <f>IF(F38+SUM(E$17:E38)=D$10,F38,D$10-SUM(E$17:E38))</f>
        <v>806864.75479563104</v>
      </c>
      <c r="E39" s="164">
        <f>IF(+I14&lt;F38,I14,D39)</f>
        <v>36202.428571428572</v>
      </c>
      <c r="F39" s="163">
        <f t="shared" si="12"/>
        <v>770662.32622420252</v>
      </c>
      <c r="G39" s="165">
        <f t="shared" si="13"/>
        <v>121392.65879890695</v>
      </c>
      <c r="H39" s="147">
        <f t="shared" si="14"/>
        <v>121392.65879890695</v>
      </c>
      <c r="I39" s="160">
        <f t="shared" si="0"/>
        <v>0</v>
      </c>
      <c r="J39" s="160"/>
      <c r="K39" s="335"/>
      <c r="L39" s="162">
        <f t="shared" si="1"/>
        <v>0</v>
      </c>
      <c r="M39" s="335"/>
      <c r="N39" s="162">
        <f t="shared" si="2"/>
        <v>0</v>
      </c>
      <c r="O39" s="162">
        <f t="shared" si="3"/>
        <v>0</v>
      </c>
      <c r="P39" s="4"/>
    </row>
    <row r="40" spans="2:16">
      <c r="B40" s="9" t="str">
        <f t="shared" si="6"/>
        <v/>
      </c>
      <c r="C40" s="157">
        <f>IF(D11="","-",+C39+1)</f>
        <v>2031</v>
      </c>
      <c r="D40" s="163">
        <f>IF(F39+SUM(E$17:E39)=D$10,F39,D$10-SUM(E$17:E39))</f>
        <v>770662.32622420252</v>
      </c>
      <c r="E40" s="164">
        <f>IF(+I14&lt;F39,I14,D40)</f>
        <v>36202.428571428572</v>
      </c>
      <c r="F40" s="163">
        <f t="shared" si="12"/>
        <v>734459.897652774</v>
      </c>
      <c r="G40" s="165">
        <f t="shared" si="13"/>
        <v>117482.6235774513</v>
      </c>
      <c r="H40" s="147">
        <f t="shared" si="14"/>
        <v>117482.6235774513</v>
      </c>
      <c r="I40" s="160">
        <f t="shared" si="0"/>
        <v>0</v>
      </c>
      <c r="J40" s="160"/>
      <c r="K40" s="335"/>
      <c r="L40" s="162">
        <f t="shared" si="1"/>
        <v>0</v>
      </c>
      <c r="M40" s="335"/>
      <c r="N40" s="162">
        <f t="shared" si="2"/>
        <v>0</v>
      </c>
      <c r="O40" s="162">
        <f t="shared" si="3"/>
        <v>0</v>
      </c>
      <c r="P40" s="4"/>
    </row>
    <row r="41" spans="2:16">
      <c r="B41" s="9" t="str">
        <f t="shared" si="6"/>
        <v/>
      </c>
      <c r="C41" s="157">
        <f>IF(D11="","-",+C40+1)</f>
        <v>2032</v>
      </c>
      <c r="D41" s="163">
        <f>IF(F40+SUM(E$17:E40)=D$10,F40,D$10-SUM(E$17:E40))</f>
        <v>734459.897652774</v>
      </c>
      <c r="E41" s="164">
        <f>IF(+I14&lt;F40,I14,D41)</f>
        <v>36202.428571428572</v>
      </c>
      <c r="F41" s="163">
        <f t="shared" si="12"/>
        <v>698257.46908134548</v>
      </c>
      <c r="G41" s="165">
        <f t="shared" si="13"/>
        <v>113572.58835599566</v>
      </c>
      <c r="H41" s="147">
        <f t="shared" si="14"/>
        <v>113572.58835599566</v>
      </c>
      <c r="I41" s="160">
        <f t="shared" si="0"/>
        <v>0</v>
      </c>
      <c r="J41" s="160"/>
      <c r="K41" s="335"/>
      <c r="L41" s="162">
        <f t="shared" si="1"/>
        <v>0</v>
      </c>
      <c r="M41" s="335"/>
      <c r="N41" s="162">
        <f t="shared" si="2"/>
        <v>0</v>
      </c>
      <c r="O41" s="162">
        <f t="shared" si="3"/>
        <v>0</v>
      </c>
      <c r="P41" s="4"/>
    </row>
    <row r="42" spans="2:16">
      <c r="B42" s="9" t="str">
        <f t="shared" si="6"/>
        <v/>
      </c>
      <c r="C42" s="157">
        <f>IF(D11="","-",+C41+1)</f>
        <v>2033</v>
      </c>
      <c r="D42" s="163">
        <f>IF(F41+SUM(E$17:E41)=D$10,F41,D$10-SUM(E$17:E41))</f>
        <v>698257.46908134548</v>
      </c>
      <c r="E42" s="164">
        <f>IF(+I14&lt;F41,I14,D42)</f>
        <v>36202.428571428572</v>
      </c>
      <c r="F42" s="163">
        <f t="shared" si="12"/>
        <v>662055.04050991696</v>
      </c>
      <c r="G42" s="165">
        <f t="shared" si="13"/>
        <v>109662.55313453998</v>
      </c>
      <c r="H42" s="147">
        <f t="shared" si="14"/>
        <v>109662.55313453998</v>
      </c>
      <c r="I42" s="160">
        <f t="shared" si="0"/>
        <v>0</v>
      </c>
      <c r="J42" s="160"/>
      <c r="K42" s="335"/>
      <c r="L42" s="162">
        <f t="shared" si="1"/>
        <v>0</v>
      </c>
      <c r="M42" s="335"/>
      <c r="N42" s="162">
        <f t="shared" si="2"/>
        <v>0</v>
      </c>
      <c r="O42" s="162">
        <f t="shared" si="3"/>
        <v>0</v>
      </c>
      <c r="P42" s="4"/>
    </row>
    <row r="43" spans="2:16">
      <c r="B43" s="9" t="str">
        <f t="shared" si="6"/>
        <v/>
      </c>
      <c r="C43" s="157">
        <f>IF(D11="","-",+C42+1)</f>
        <v>2034</v>
      </c>
      <c r="D43" s="163">
        <f>IF(F42+SUM(E$17:E42)=D$10,F42,D$10-SUM(E$17:E42))</f>
        <v>662055.04050991696</v>
      </c>
      <c r="E43" s="164">
        <f>IF(+I14&lt;F42,I14,D43)</f>
        <v>36202.428571428572</v>
      </c>
      <c r="F43" s="163">
        <f t="shared" si="12"/>
        <v>625852.61193848844</v>
      </c>
      <c r="G43" s="165">
        <f t="shared" si="13"/>
        <v>105752.51791308436</v>
      </c>
      <c r="H43" s="147">
        <f t="shared" si="14"/>
        <v>105752.51791308436</v>
      </c>
      <c r="I43" s="160">
        <f t="shared" si="0"/>
        <v>0</v>
      </c>
      <c r="J43" s="160"/>
      <c r="K43" s="335"/>
      <c r="L43" s="162">
        <f t="shared" si="1"/>
        <v>0</v>
      </c>
      <c r="M43" s="335"/>
      <c r="N43" s="162">
        <f t="shared" si="2"/>
        <v>0</v>
      </c>
      <c r="O43" s="162">
        <f t="shared" si="3"/>
        <v>0</v>
      </c>
      <c r="P43" s="4"/>
    </row>
    <row r="44" spans="2:16">
      <c r="B44" s="9" t="str">
        <f t="shared" si="6"/>
        <v/>
      </c>
      <c r="C44" s="157">
        <f>IF(D11="","-",+C43+1)</f>
        <v>2035</v>
      </c>
      <c r="D44" s="163">
        <f>IF(F43+SUM(E$17:E43)=D$10,F43,D$10-SUM(E$17:E43))</f>
        <v>625852.61193848844</v>
      </c>
      <c r="E44" s="164">
        <f>IF(+I14&lt;F43,I14,D44)</f>
        <v>36202.428571428572</v>
      </c>
      <c r="F44" s="163">
        <f t="shared" si="12"/>
        <v>589650.18336705992</v>
      </c>
      <c r="G44" s="165">
        <f t="shared" si="13"/>
        <v>101842.48269162868</v>
      </c>
      <c r="H44" s="147">
        <f t="shared" si="14"/>
        <v>101842.48269162868</v>
      </c>
      <c r="I44" s="160">
        <f t="shared" si="0"/>
        <v>0</v>
      </c>
      <c r="J44" s="160"/>
      <c r="K44" s="335"/>
      <c r="L44" s="162">
        <f t="shared" si="1"/>
        <v>0</v>
      </c>
      <c r="M44" s="335"/>
      <c r="N44" s="162">
        <f t="shared" si="2"/>
        <v>0</v>
      </c>
      <c r="O44" s="162">
        <f t="shared" si="3"/>
        <v>0</v>
      </c>
      <c r="P44" s="4"/>
    </row>
    <row r="45" spans="2:16">
      <c r="B45" s="9" t="str">
        <f t="shared" si="6"/>
        <v/>
      </c>
      <c r="C45" s="157">
        <f>IF(D11="","-",+C44+1)</f>
        <v>2036</v>
      </c>
      <c r="D45" s="163">
        <f>IF(F44+SUM(E$17:E44)=D$10,F44,D$10-SUM(E$17:E44))</f>
        <v>589650.18336705992</v>
      </c>
      <c r="E45" s="164">
        <f>IF(+I14&lt;F44,I14,D45)</f>
        <v>36202.428571428572</v>
      </c>
      <c r="F45" s="163">
        <f t="shared" si="12"/>
        <v>553447.75479563139</v>
      </c>
      <c r="G45" s="165">
        <f t="shared" si="13"/>
        <v>97932.447470173036</v>
      </c>
      <c r="H45" s="147">
        <f t="shared" si="14"/>
        <v>97932.447470173036</v>
      </c>
      <c r="I45" s="160">
        <f t="shared" si="0"/>
        <v>0</v>
      </c>
      <c r="J45" s="160"/>
      <c r="K45" s="335"/>
      <c r="L45" s="162">
        <f t="shared" si="1"/>
        <v>0</v>
      </c>
      <c r="M45" s="335"/>
      <c r="N45" s="162">
        <f t="shared" si="2"/>
        <v>0</v>
      </c>
      <c r="O45" s="162">
        <f t="shared" si="3"/>
        <v>0</v>
      </c>
      <c r="P45" s="4"/>
    </row>
    <row r="46" spans="2:16">
      <c r="B46" s="9" t="str">
        <f t="shared" si="6"/>
        <v/>
      </c>
      <c r="C46" s="157">
        <f>IF(D11="","-",+C45+1)</f>
        <v>2037</v>
      </c>
      <c r="D46" s="163">
        <f>IF(F45+SUM(E$17:E45)=D$10,F45,D$10-SUM(E$17:E45))</f>
        <v>553447.75479563139</v>
      </c>
      <c r="E46" s="164">
        <f>IF(+I14&lt;F45,I14,D46)</f>
        <v>36202.428571428572</v>
      </c>
      <c r="F46" s="163">
        <f t="shared" si="12"/>
        <v>517245.32622420281</v>
      </c>
      <c r="G46" s="165">
        <f t="shared" si="13"/>
        <v>94022.412248717388</v>
      </c>
      <c r="H46" s="147">
        <f t="shared" si="14"/>
        <v>94022.412248717388</v>
      </c>
      <c r="I46" s="160">
        <f t="shared" si="0"/>
        <v>0</v>
      </c>
      <c r="J46" s="160"/>
      <c r="K46" s="335"/>
      <c r="L46" s="162">
        <f t="shared" si="1"/>
        <v>0</v>
      </c>
      <c r="M46" s="335"/>
      <c r="N46" s="162">
        <f t="shared" si="2"/>
        <v>0</v>
      </c>
      <c r="O46" s="162">
        <f t="shared" si="3"/>
        <v>0</v>
      </c>
      <c r="P46" s="4"/>
    </row>
    <row r="47" spans="2:16">
      <c r="B47" s="9" t="str">
        <f t="shared" si="6"/>
        <v/>
      </c>
      <c r="C47" s="157">
        <f>IF(D11="","-",+C46+1)</f>
        <v>2038</v>
      </c>
      <c r="D47" s="163">
        <f>IF(F46+SUM(E$17:E46)=D$10,F46,D$10-SUM(E$17:E46))</f>
        <v>517245.32622420281</v>
      </c>
      <c r="E47" s="164">
        <f>IF(+I14&lt;F46,I14,D47)</f>
        <v>36202.428571428572</v>
      </c>
      <c r="F47" s="163">
        <f t="shared" si="12"/>
        <v>481042.89765277423</v>
      </c>
      <c r="G47" s="165">
        <f t="shared" si="13"/>
        <v>90112.377027261726</v>
      </c>
      <c r="H47" s="147">
        <f t="shared" si="14"/>
        <v>90112.377027261726</v>
      </c>
      <c r="I47" s="160">
        <f t="shared" si="0"/>
        <v>0</v>
      </c>
      <c r="J47" s="160"/>
      <c r="K47" s="335"/>
      <c r="L47" s="162">
        <f t="shared" si="1"/>
        <v>0</v>
      </c>
      <c r="M47" s="335"/>
      <c r="N47" s="162">
        <f t="shared" si="2"/>
        <v>0</v>
      </c>
      <c r="O47" s="162">
        <f t="shared" si="3"/>
        <v>0</v>
      </c>
      <c r="P47" s="4"/>
    </row>
    <row r="48" spans="2:16">
      <c r="B48" s="9" t="str">
        <f t="shared" si="6"/>
        <v/>
      </c>
      <c r="C48" s="157">
        <f>IF(D11="","-",+C47+1)</f>
        <v>2039</v>
      </c>
      <c r="D48" s="163">
        <f>IF(F47+SUM(E$17:E47)=D$10,F47,D$10-SUM(E$17:E47))</f>
        <v>481042.89765277423</v>
      </c>
      <c r="E48" s="164">
        <f>IF(+I14&lt;F47,I14,D48)</f>
        <v>36202.428571428572</v>
      </c>
      <c r="F48" s="163">
        <f t="shared" si="12"/>
        <v>444840.46908134565</v>
      </c>
      <c r="G48" s="165">
        <f t="shared" si="13"/>
        <v>86202.341805806063</v>
      </c>
      <c r="H48" s="147">
        <f t="shared" si="14"/>
        <v>86202.341805806063</v>
      </c>
      <c r="I48" s="160">
        <f t="shared" si="0"/>
        <v>0</v>
      </c>
      <c r="J48" s="160"/>
      <c r="K48" s="335"/>
      <c r="L48" s="162">
        <f t="shared" si="1"/>
        <v>0</v>
      </c>
      <c r="M48" s="335"/>
      <c r="N48" s="162">
        <f t="shared" si="2"/>
        <v>0</v>
      </c>
      <c r="O48" s="162">
        <f t="shared" si="3"/>
        <v>0</v>
      </c>
      <c r="P48" s="4"/>
    </row>
    <row r="49" spans="2:16">
      <c r="B49" s="9" t="str">
        <f t="shared" si="6"/>
        <v/>
      </c>
      <c r="C49" s="157">
        <f>IF(D11="","-",+C48+1)</f>
        <v>2040</v>
      </c>
      <c r="D49" s="163">
        <f>IF(F48+SUM(E$17:E48)=D$10,F48,D$10-SUM(E$17:E48))</f>
        <v>444840.46908134565</v>
      </c>
      <c r="E49" s="164">
        <f>IF(+I14&lt;F48,I14,D49)</f>
        <v>36202.428571428572</v>
      </c>
      <c r="F49" s="163">
        <f t="shared" ref="F49:F72" si="15">+D49-E49</f>
        <v>408638.04050991707</v>
      </c>
      <c r="G49" s="165">
        <f t="shared" si="13"/>
        <v>82292.306584350416</v>
      </c>
      <c r="H49" s="147">
        <f t="shared" si="14"/>
        <v>82292.306584350416</v>
      </c>
      <c r="I49" s="160">
        <f t="shared" ref="I49:I72" si="16">H49-G49</f>
        <v>0</v>
      </c>
      <c r="J49" s="160"/>
      <c r="K49" s="335"/>
      <c r="L49" s="162">
        <f t="shared" ref="L49:L72" si="17">IF(K49&lt;&gt;0,+G49-K49,0)</f>
        <v>0</v>
      </c>
      <c r="M49" s="335"/>
      <c r="N49" s="162">
        <f t="shared" ref="N49:N72" si="18">IF(M49&lt;&gt;0,+H49-M49,0)</f>
        <v>0</v>
      </c>
      <c r="O49" s="162">
        <f t="shared" ref="O49:O72" si="19">+N49-L49</f>
        <v>0</v>
      </c>
      <c r="P49" s="4"/>
    </row>
    <row r="50" spans="2:16">
      <c r="B50" s="9" t="str">
        <f t="shared" si="6"/>
        <v/>
      </c>
      <c r="C50" s="157">
        <f>IF(D11="","-",+C49+1)</f>
        <v>2041</v>
      </c>
      <c r="D50" s="163">
        <f>IF(F49+SUM(E$17:E49)=D$10,F49,D$10-SUM(E$17:E49))</f>
        <v>408638.04050991707</v>
      </c>
      <c r="E50" s="164">
        <f>IF(+I14&lt;F49,I14,D50)</f>
        <v>36202.428571428572</v>
      </c>
      <c r="F50" s="163">
        <f t="shared" si="15"/>
        <v>372435.6119384885</v>
      </c>
      <c r="G50" s="165">
        <f t="shared" si="13"/>
        <v>78382.271362894739</v>
      </c>
      <c r="H50" s="147">
        <f t="shared" si="14"/>
        <v>78382.271362894739</v>
      </c>
      <c r="I50" s="160">
        <f t="shared" si="16"/>
        <v>0</v>
      </c>
      <c r="J50" s="160"/>
      <c r="K50" s="335"/>
      <c r="L50" s="162">
        <f t="shared" si="17"/>
        <v>0</v>
      </c>
      <c r="M50" s="335"/>
      <c r="N50" s="162">
        <f t="shared" si="18"/>
        <v>0</v>
      </c>
      <c r="O50" s="162">
        <f t="shared" si="19"/>
        <v>0</v>
      </c>
      <c r="P50" s="4"/>
    </row>
    <row r="51" spans="2:16">
      <c r="B51" s="9" t="str">
        <f t="shared" si="6"/>
        <v/>
      </c>
      <c r="C51" s="157">
        <f>IF(D11="","-",+C50+1)</f>
        <v>2042</v>
      </c>
      <c r="D51" s="163">
        <f>IF(F50+SUM(E$17:E50)=D$10,F50,D$10-SUM(E$17:E50))</f>
        <v>372435.6119384885</v>
      </c>
      <c r="E51" s="164">
        <f>IF(+I14&lt;F50,I14,D51)</f>
        <v>36202.428571428572</v>
      </c>
      <c r="F51" s="163">
        <f t="shared" si="15"/>
        <v>336233.18336705992</v>
      </c>
      <c r="G51" s="165">
        <f t="shared" si="13"/>
        <v>74472.236141439091</v>
      </c>
      <c r="H51" s="147">
        <f t="shared" si="14"/>
        <v>74472.236141439091</v>
      </c>
      <c r="I51" s="160">
        <f t="shared" si="16"/>
        <v>0</v>
      </c>
      <c r="J51" s="160"/>
      <c r="K51" s="335"/>
      <c r="L51" s="162">
        <f t="shared" si="17"/>
        <v>0</v>
      </c>
      <c r="M51" s="335"/>
      <c r="N51" s="162">
        <f t="shared" si="18"/>
        <v>0</v>
      </c>
      <c r="O51" s="162">
        <f t="shared" si="19"/>
        <v>0</v>
      </c>
      <c r="P51" s="4"/>
    </row>
    <row r="52" spans="2:16">
      <c r="B52" s="9" t="str">
        <f t="shared" si="6"/>
        <v/>
      </c>
      <c r="C52" s="157">
        <f>IF(D11="","-",+C51+1)</f>
        <v>2043</v>
      </c>
      <c r="D52" s="163">
        <f>IF(F51+SUM(E$17:E51)=D$10,F51,D$10-SUM(E$17:E51))</f>
        <v>336233.18336705992</v>
      </c>
      <c r="E52" s="164">
        <f>IF(+I14&lt;F51,I14,D52)</f>
        <v>36202.428571428572</v>
      </c>
      <c r="F52" s="163">
        <f t="shared" si="15"/>
        <v>300030.75479563134</v>
      </c>
      <c r="G52" s="165">
        <f t="shared" si="13"/>
        <v>70562.200919983428</v>
      </c>
      <c r="H52" s="147">
        <f t="shared" si="14"/>
        <v>70562.200919983428</v>
      </c>
      <c r="I52" s="160">
        <f t="shared" si="16"/>
        <v>0</v>
      </c>
      <c r="J52" s="160"/>
      <c r="K52" s="335"/>
      <c r="L52" s="162">
        <f t="shared" si="17"/>
        <v>0</v>
      </c>
      <c r="M52" s="335"/>
      <c r="N52" s="162">
        <f t="shared" si="18"/>
        <v>0</v>
      </c>
      <c r="O52" s="162">
        <f t="shared" si="19"/>
        <v>0</v>
      </c>
      <c r="P52" s="4"/>
    </row>
    <row r="53" spans="2:16">
      <c r="B53" s="9" t="str">
        <f t="shared" si="6"/>
        <v/>
      </c>
      <c r="C53" s="157">
        <f>IF(D11="","-",+C52+1)</f>
        <v>2044</v>
      </c>
      <c r="D53" s="163">
        <f>IF(F52+SUM(E$17:E52)=D$10,F52,D$10-SUM(E$17:E52))</f>
        <v>300030.75479563134</v>
      </c>
      <c r="E53" s="164">
        <f>IF(+I14&lt;F52,I14,D53)</f>
        <v>36202.428571428572</v>
      </c>
      <c r="F53" s="163">
        <f t="shared" si="15"/>
        <v>263828.32622420276</v>
      </c>
      <c r="G53" s="165">
        <f t="shared" si="13"/>
        <v>66652.165698527766</v>
      </c>
      <c r="H53" s="147">
        <f t="shared" si="14"/>
        <v>66652.165698527766</v>
      </c>
      <c r="I53" s="160">
        <f t="shared" si="16"/>
        <v>0</v>
      </c>
      <c r="J53" s="160"/>
      <c r="K53" s="335"/>
      <c r="L53" s="162">
        <f t="shared" si="17"/>
        <v>0</v>
      </c>
      <c r="M53" s="335"/>
      <c r="N53" s="162">
        <f t="shared" si="18"/>
        <v>0</v>
      </c>
      <c r="O53" s="162">
        <f t="shared" si="19"/>
        <v>0</v>
      </c>
      <c r="P53" s="4"/>
    </row>
    <row r="54" spans="2:16">
      <c r="B54" s="9" t="str">
        <f t="shared" si="6"/>
        <v/>
      </c>
      <c r="C54" s="157">
        <f>IF(D11="","-",+C53+1)</f>
        <v>2045</v>
      </c>
      <c r="D54" s="163">
        <f>IF(F53+SUM(E$17:E53)=D$10,F53,D$10-SUM(E$17:E53))</f>
        <v>263828.32622420276</v>
      </c>
      <c r="E54" s="164">
        <f>IF(+I14&lt;F53,I14,D54)</f>
        <v>36202.428571428572</v>
      </c>
      <c r="F54" s="163">
        <f t="shared" si="15"/>
        <v>227625.89765277418</v>
      </c>
      <c r="G54" s="165">
        <f t="shared" si="13"/>
        <v>62742.130477072111</v>
      </c>
      <c r="H54" s="147">
        <f t="shared" si="14"/>
        <v>62742.130477072111</v>
      </c>
      <c r="I54" s="160">
        <f t="shared" si="16"/>
        <v>0</v>
      </c>
      <c r="J54" s="160"/>
      <c r="K54" s="335"/>
      <c r="L54" s="162">
        <f t="shared" si="17"/>
        <v>0</v>
      </c>
      <c r="M54" s="335"/>
      <c r="N54" s="162">
        <f t="shared" si="18"/>
        <v>0</v>
      </c>
      <c r="O54" s="162">
        <f t="shared" si="19"/>
        <v>0</v>
      </c>
      <c r="P54" s="4"/>
    </row>
    <row r="55" spans="2:16">
      <c r="B55" s="9" t="str">
        <f t="shared" si="6"/>
        <v/>
      </c>
      <c r="C55" s="157">
        <f>IF(D11="","-",+C54+1)</f>
        <v>2046</v>
      </c>
      <c r="D55" s="163">
        <f>IF(F54+SUM(E$17:E54)=D$10,F54,D$10-SUM(E$17:E54))</f>
        <v>227625.89765277418</v>
      </c>
      <c r="E55" s="164">
        <f>IF(+I14&lt;F54,I14,D55)</f>
        <v>36202.428571428572</v>
      </c>
      <c r="F55" s="163">
        <f t="shared" si="15"/>
        <v>191423.4690813456</v>
      </c>
      <c r="G55" s="165">
        <f t="shared" si="13"/>
        <v>58832.095255616456</v>
      </c>
      <c r="H55" s="147">
        <f t="shared" si="14"/>
        <v>58832.095255616456</v>
      </c>
      <c r="I55" s="160">
        <f t="shared" si="16"/>
        <v>0</v>
      </c>
      <c r="J55" s="160"/>
      <c r="K55" s="335"/>
      <c r="L55" s="162">
        <f t="shared" si="17"/>
        <v>0</v>
      </c>
      <c r="M55" s="335"/>
      <c r="N55" s="162">
        <f t="shared" si="18"/>
        <v>0</v>
      </c>
      <c r="O55" s="162">
        <f t="shared" si="19"/>
        <v>0</v>
      </c>
      <c r="P55" s="4"/>
    </row>
    <row r="56" spans="2:16">
      <c r="B56" s="9" t="str">
        <f t="shared" si="6"/>
        <v/>
      </c>
      <c r="C56" s="157">
        <f>IF(D11="","-",+C55+1)</f>
        <v>2047</v>
      </c>
      <c r="D56" s="163">
        <f>IF(F55+SUM(E$17:E55)=D$10,F55,D$10-SUM(E$17:E55))</f>
        <v>191423.4690813456</v>
      </c>
      <c r="E56" s="164">
        <f>IF(+I14&lt;F55,I14,D56)</f>
        <v>36202.428571428572</v>
      </c>
      <c r="F56" s="163">
        <f t="shared" si="15"/>
        <v>155221.04050991702</v>
      </c>
      <c r="G56" s="165">
        <f t="shared" si="13"/>
        <v>54922.060034160793</v>
      </c>
      <c r="H56" s="147">
        <f t="shared" si="14"/>
        <v>54922.060034160793</v>
      </c>
      <c r="I56" s="160">
        <f t="shared" si="16"/>
        <v>0</v>
      </c>
      <c r="J56" s="160"/>
      <c r="K56" s="335"/>
      <c r="L56" s="162">
        <f t="shared" si="17"/>
        <v>0</v>
      </c>
      <c r="M56" s="335"/>
      <c r="N56" s="162">
        <f t="shared" si="18"/>
        <v>0</v>
      </c>
      <c r="O56" s="162">
        <f t="shared" si="19"/>
        <v>0</v>
      </c>
      <c r="P56" s="4"/>
    </row>
    <row r="57" spans="2:16">
      <c r="B57" s="9" t="str">
        <f t="shared" si="6"/>
        <v/>
      </c>
      <c r="C57" s="157">
        <f>IF(D11="","-",+C56+1)</f>
        <v>2048</v>
      </c>
      <c r="D57" s="163">
        <f>IF(F56+SUM(E$17:E56)=D$10,F56,D$10-SUM(E$17:E56))</f>
        <v>155221.04050991702</v>
      </c>
      <c r="E57" s="164">
        <f>IF(+I14&lt;F56,I14,D57)</f>
        <v>36202.428571428572</v>
      </c>
      <c r="F57" s="163">
        <f t="shared" si="15"/>
        <v>119018.61193848844</v>
      </c>
      <c r="G57" s="165">
        <f t="shared" si="13"/>
        <v>51012.024812705138</v>
      </c>
      <c r="H57" s="147">
        <f t="shared" si="14"/>
        <v>51012.024812705138</v>
      </c>
      <c r="I57" s="160">
        <f t="shared" si="16"/>
        <v>0</v>
      </c>
      <c r="J57" s="160"/>
      <c r="K57" s="335"/>
      <c r="L57" s="162">
        <f t="shared" si="17"/>
        <v>0</v>
      </c>
      <c r="M57" s="335"/>
      <c r="N57" s="162">
        <f t="shared" si="18"/>
        <v>0</v>
      </c>
      <c r="O57" s="162">
        <f t="shared" si="19"/>
        <v>0</v>
      </c>
      <c r="P57" s="4"/>
    </row>
    <row r="58" spans="2:16">
      <c r="B58" s="9" t="str">
        <f t="shared" si="6"/>
        <v/>
      </c>
      <c r="C58" s="157">
        <f>IF(D11="","-",+C57+1)</f>
        <v>2049</v>
      </c>
      <c r="D58" s="163">
        <f>IF(F57+SUM(E$17:E57)=D$10,F57,D$10-SUM(E$17:E57))</f>
        <v>119018.61193848844</v>
      </c>
      <c r="E58" s="164">
        <f>IF(+I14&lt;F57,I14,D58)</f>
        <v>36202.428571428572</v>
      </c>
      <c r="F58" s="163">
        <f t="shared" si="15"/>
        <v>82816.183367059857</v>
      </c>
      <c r="G58" s="165">
        <f t="shared" si="13"/>
        <v>47101.989591249476</v>
      </c>
      <c r="H58" s="147">
        <f t="shared" si="14"/>
        <v>47101.989591249476</v>
      </c>
      <c r="I58" s="160">
        <f t="shared" si="16"/>
        <v>0</v>
      </c>
      <c r="J58" s="160"/>
      <c r="K58" s="335"/>
      <c r="L58" s="162">
        <f t="shared" si="17"/>
        <v>0</v>
      </c>
      <c r="M58" s="335"/>
      <c r="N58" s="162">
        <f t="shared" si="18"/>
        <v>0</v>
      </c>
      <c r="O58" s="162">
        <f t="shared" si="19"/>
        <v>0</v>
      </c>
      <c r="P58" s="4"/>
    </row>
    <row r="59" spans="2:16">
      <c r="B59" s="9" t="str">
        <f t="shared" si="6"/>
        <v/>
      </c>
      <c r="C59" s="157">
        <f>IF(D11="","-",+C58+1)</f>
        <v>2050</v>
      </c>
      <c r="D59" s="163">
        <f>IF(F58+SUM(E$17:E58)=D$10,F58,D$10-SUM(E$17:E58))</f>
        <v>82816.183367059857</v>
      </c>
      <c r="E59" s="164">
        <f>IF(+I14&lt;F58,I14,D59)</f>
        <v>36202.428571428572</v>
      </c>
      <c r="F59" s="163">
        <f t="shared" si="15"/>
        <v>46613.754795631285</v>
      </c>
      <c r="G59" s="165">
        <f t="shared" si="13"/>
        <v>43191.954369793821</v>
      </c>
      <c r="H59" s="147">
        <f t="shared" si="14"/>
        <v>43191.954369793821</v>
      </c>
      <c r="I59" s="160">
        <f t="shared" si="16"/>
        <v>0</v>
      </c>
      <c r="J59" s="160"/>
      <c r="K59" s="335"/>
      <c r="L59" s="162">
        <f t="shared" si="17"/>
        <v>0</v>
      </c>
      <c r="M59" s="335"/>
      <c r="N59" s="162">
        <f t="shared" si="18"/>
        <v>0</v>
      </c>
      <c r="O59" s="162">
        <f t="shared" si="19"/>
        <v>0</v>
      </c>
      <c r="P59" s="4"/>
    </row>
    <row r="60" spans="2:16">
      <c r="B60" s="9" t="str">
        <f t="shared" si="6"/>
        <v/>
      </c>
      <c r="C60" s="157">
        <f>IF(D11="","-",+C59+1)</f>
        <v>2051</v>
      </c>
      <c r="D60" s="163">
        <f>IF(F59+SUM(E$17:E59)=D$10,F59,D$10-SUM(E$17:E59))</f>
        <v>46613.754795631285</v>
      </c>
      <c r="E60" s="164">
        <f>IF(+I14&lt;F59,I14,D60)</f>
        <v>36202.428571428572</v>
      </c>
      <c r="F60" s="163">
        <f t="shared" si="15"/>
        <v>10411.326224202712</v>
      </c>
      <c r="G60" s="165">
        <f t="shared" si="13"/>
        <v>39281.919148338158</v>
      </c>
      <c r="H60" s="147">
        <f t="shared" si="14"/>
        <v>39281.919148338158</v>
      </c>
      <c r="I60" s="160">
        <f t="shared" si="16"/>
        <v>0</v>
      </c>
      <c r="J60" s="160"/>
      <c r="K60" s="335"/>
      <c r="L60" s="162">
        <f t="shared" si="17"/>
        <v>0</v>
      </c>
      <c r="M60" s="335"/>
      <c r="N60" s="162">
        <f t="shared" si="18"/>
        <v>0</v>
      </c>
      <c r="O60" s="162">
        <f t="shared" si="19"/>
        <v>0</v>
      </c>
      <c r="P60" s="4"/>
    </row>
    <row r="61" spans="2:16">
      <c r="B61" s="9" t="str">
        <f t="shared" si="6"/>
        <v/>
      </c>
      <c r="C61" s="157">
        <f>IF(D11="","-",+C60+1)</f>
        <v>2052</v>
      </c>
      <c r="D61" s="163">
        <f>IF(F60+SUM(E$17:E60)=D$10,F60,D$10-SUM(E$17:E60))</f>
        <v>10411.326224202712</v>
      </c>
      <c r="E61" s="164">
        <f>IF(+I14&lt;F60,I14,D61)</f>
        <v>10411.326224202712</v>
      </c>
      <c r="F61" s="163">
        <f t="shared" si="15"/>
        <v>0</v>
      </c>
      <c r="G61" s="165">
        <f t="shared" si="13"/>
        <v>10973.562707293591</v>
      </c>
      <c r="H61" s="147">
        <f t="shared" si="14"/>
        <v>10973.562707293591</v>
      </c>
      <c r="I61" s="160">
        <f t="shared" si="16"/>
        <v>0</v>
      </c>
      <c r="J61" s="160"/>
      <c r="K61" s="335"/>
      <c r="L61" s="162">
        <f t="shared" si="17"/>
        <v>0</v>
      </c>
      <c r="M61" s="335"/>
      <c r="N61" s="162">
        <f t="shared" si="18"/>
        <v>0</v>
      </c>
      <c r="O61" s="162">
        <f t="shared" si="19"/>
        <v>0</v>
      </c>
      <c r="P61" s="4"/>
    </row>
    <row r="62" spans="2:16">
      <c r="B62" s="9" t="str">
        <f t="shared" si="6"/>
        <v/>
      </c>
      <c r="C62" s="157">
        <f>IF(D11="","-",+C61+1)</f>
        <v>2053</v>
      </c>
      <c r="D62" s="163">
        <f>IF(F61+SUM(E$17:E61)=D$10,F61,D$10-SUM(E$17:E61))</f>
        <v>0</v>
      </c>
      <c r="E62" s="164">
        <f>IF(+I14&lt;F61,I14,D62)</f>
        <v>0</v>
      </c>
      <c r="F62" s="163">
        <f t="shared" si="15"/>
        <v>0</v>
      </c>
      <c r="G62" s="165">
        <f t="shared" si="13"/>
        <v>0</v>
      </c>
      <c r="H62" s="147">
        <f t="shared" si="14"/>
        <v>0</v>
      </c>
      <c r="I62" s="160">
        <f t="shared" si="16"/>
        <v>0</v>
      </c>
      <c r="J62" s="160"/>
      <c r="K62" s="335"/>
      <c r="L62" s="162">
        <f t="shared" si="17"/>
        <v>0</v>
      </c>
      <c r="M62" s="335"/>
      <c r="N62" s="162">
        <f t="shared" si="18"/>
        <v>0</v>
      </c>
      <c r="O62" s="162">
        <f t="shared" si="19"/>
        <v>0</v>
      </c>
      <c r="P62" s="4"/>
    </row>
    <row r="63" spans="2:16">
      <c r="B63" s="9" t="str">
        <f t="shared" si="6"/>
        <v/>
      </c>
      <c r="C63" s="157">
        <f>IF(D11="","-",+C62+1)</f>
        <v>2054</v>
      </c>
      <c r="D63" s="163">
        <f>IF(F62+SUM(E$17:E62)=D$10,F62,D$10-SUM(E$17:E62))</f>
        <v>0</v>
      </c>
      <c r="E63" s="164">
        <f>IF(+I14&lt;F62,I14,D63)</f>
        <v>0</v>
      </c>
      <c r="F63" s="163">
        <f t="shared" si="15"/>
        <v>0</v>
      </c>
      <c r="G63" s="165">
        <f t="shared" si="13"/>
        <v>0</v>
      </c>
      <c r="H63" s="147">
        <f t="shared" si="14"/>
        <v>0</v>
      </c>
      <c r="I63" s="160">
        <f t="shared" si="16"/>
        <v>0</v>
      </c>
      <c r="J63" s="160"/>
      <c r="K63" s="335"/>
      <c r="L63" s="162">
        <f t="shared" si="17"/>
        <v>0</v>
      </c>
      <c r="M63" s="335"/>
      <c r="N63" s="162">
        <f t="shared" si="18"/>
        <v>0</v>
      </c>
      <c r="O63" s="162">
        <f t="shared" si="19"/>
        <v>0</v>
      </c>
      <c r="P63" s="4"/>
    </row>
    <row r="64" spans="2:16">
      <c r="B64" s="9" t="str">
        <f t="shared" si="6"/>
        <v/>
      </c>
      <c r="C64" s="157">
        <f>IF(D11="","-",+C63+1)</f>
        <v>2055</v>
      </c>
      <c r="D64" s="163">
        <f>IF(F63+SUM(E$17:E63)=D$10,F63,D$10-SUM(E$17:E63))</f>
        <v>0</v>
      </c>
      <c r="E64" s="164">
        <f>IF(+I14&lt;F63,I14,D64)</f>
        <v>0</v>
      </c>
      <c r="F64" s="163">
        <f t="shared" si="15"/>
        <v>0</v>
      </c>
      <c r="G64" s="165">
        <f t="shared" si="13"/>
        <v>0</v>
      </c>
      <c r="H64" s="147">
        <f t="shared" si="14"/>
        <v>0</v>
      </c>
      <c r="I64" s="160">
        <f t="shared" si="16"/>
        <v>0</v>
      </c>
      <c r="J64" s="160"/>
      <c r="K64" s="335"/>
      <c r="L64" s="162">
        <f t="shared" si="17"/>
        <v>0</v>
      </c>
      <c r="M64" s="335"/>
      <c r="N64" s="162">
        <f t="shared" si="18"/>
        <v>0</v>
      </c>
      <c r="O64" s="162">
        <f t="shared" si="19"/>
        <v>0</v>
      </c>
      <c r="P64" s="4"/>
    </row>
    <row r="65" spans="2:16">
      <c r="B65" s="9" t="str">
        <f t="shared" si="6"/>
        <v/>
      </c>
      <c r="C65" s="157">
        <f>IF(D11="","-",+C64+1)</f>
        <v>2056</v>
      </c>
      <c r="D65" s="163">
        <f>IF(F64+SUM(E$17:E64)=D$10,F64,D$10-SUM(E$17:E64))</f>
        <v>0</v>
      </c>
      <c r="E65" s="164">
        <f>IF(+I14&lt;F64,I14,D65)</f>
        <v>0</v>
      </c>
      <c r="F65" s="163">
        <f t="shared" si="15"/>
        <v>0</v>
      </c>
      <c r="G65" s="165">
        <f t="shared" si="13"/>
        <v>0</v>
      </c>
      <c r="H65" s="147">
        <f t="shared" si="14"/>
        <v>0</v>
      </c>
      <c r="I65" s="160">
        <f t="shared" si="16"/>
        <v>0</v>
      </c>
      <c r="J65" s="160"/>
      <c r="K65" s="335"/>
      <c r="L65" s="162">
        <f t="shared" si="17"/>
        <v>0</v>
      </c>
      <c r="M65" s="335"/>
      <c r="N65" s="162">
        <f t="shared" si="18"/>
        <v>0</v>
      </c>
      <c r="O65" s="162">
        <f t="shared" si="19"/>
        <v>0</v>
      </c>
      <c r="P65" s="4"/>
    </row>
    <row r="66" spans="2:16">
      <c r="B66" s="9" t="str">
        <f t="shared" si="6"/>
        <v/>
      </c>
      <c r="C66" s="157">
        <f>IF(D11="","-",+C65+1)</f>
        <v>2057</v>
      </c>
      <c r="D66" s="163">
        <f>IF(F65+SUM(E$17:E65)=D$10,F65,D$10-SUM(E$17:E65))</f>
        <v>0</v>
      </c>
      <c r="E66" s="164">
        <f>IF(+I14&lt;F65,I14,D66)</f>
        <v>0</v>
      </c>
      <c r="F66" s="163">
        <f t="shared" si="15"/>
        <v>0</v>
      </c>
      <c r="G66" s="165">
        <f t="shared" si="13"/>
        <v>0</v>
      </c>
      <c r="H66" s="147">
        <f t="shared" si="14"/>
        <v>0</v>
      </c>
      <c r="I66" s="160">
        <f t="shared" si="16"/>
        <v>0</v>
      </c>
      <c r="J66" s="160"/>
      <c r="K66" s="335"/>
      <c r="L66" s="162">
        <f t="shared" si="17"/>
        <v>0</v>
      </c>
      <c r="M66" s="335"/>
      <c r="N66" s="162">
        <f t="shared" si="18"/>
        <v>0</v>
      </c>
      <c r="O66" s="162">
        <f t="shared" si="19"/>
        <v>0</v>
      </c>
      <c r="P66" s="4"/>
    </row>
    <row r="67" spans="2:16">
      <c r="B67" s="9" t="str">
        <f t="shared" si="6"/>
        <v/>
      </c>
      <c r="C67" s="157">
        <f>IF(D11="","-",+C66+1)</f>
        <v>2058</v>
      </c>
      <c r="D67" s="163">
        <f>IF(F66+SUM(E$17:E66)=D$10,F66,D$10-SUM(E$17:E66))</f>
        <v>0</v>
      </c>
      <c r="E67" s="164">
        <f>IF(+I14&lt;F66,I14,D67)</f>
        <v>0</v>
      </c>
      <c r="F67" s="163">
        <f t="shared" si="15"/>
        <v>0</v>
      </c>
      <c r="G67" s="165">
        <f t="shared" si="13"/>
        <v>0</v>
      </c>
      <c r="H67" s="147">
        <f t="shared" si="14"/>
        <v>0</v>
      </c>
      <c r="I67" s="160">
        <f t="shared" si="16"/>
        <v>0</v>
      </c>
      <c r="J67" s="160"/>
      <c r="K67" s="335"/>
      <c r="L67" s="162">
        <f t="shared" si="17"/>
        <v>0</v>
      </c>
      <c r="M67" s="335"/>
      <c r="N67" s="162">
        <f t="shared" si="18"/>
        <v>0</v>
      </c>
      <c r="O67" s="162">
        <f t="shared" si="19"/>
        <v>0</v>
      </c>
      <c r="P67" s="4"/>
    </row>
    <row r="68" spans="2:16">
      <c r="B68" s="9" t="str">
        <f t="shared" si="6"/>
        <v/>
      </c>
      <c r="C68" s="157">
        <f>IF(D11="","-",+C67+1)</f>
        <v>2059</v>
      </c>
      <c r="D68" s="163">
        <f>IF(F67+SUM(E$17:E67)=D$10,F67,D$10-SUM(E$17:E67))</f>
        <v>0</v>
      </c>
      <c r="E68" s="164">
        <f>IF(+I14&lt;F67,I14,D68)</f>
        <v>0</v>
      </c>
      <c r="F68" s="163">
        <f t="shared" si="15"/>
        <v>0</v>
      </c>
      <c r="G68" s="165">
        <f t="shared" si="13"/>
        <v>0</v>
      </c>
      <c r="H68" s="147">
        <f t="shared" si="14"/>
        <v>0</v>
      </c>
      <c r="I68" s="160">
        <f t="shared" si="16"/>
        <v>0</v>
      </c>
      <c r="J68" s="160"/>
      <c r="K68" s="335"/>
      <c r="L68" s="162">
        <f t="shared" si="17"/>
        <v>0</v>
      </c>
      <c r="M68" s="335"/>
      <c r="N68" s="162">
        <f t="shared" si="18"/>
        <v>0</v>
      </c>
      <c r="O68" s="162">
        <f t="shared" si="19"/>
        <v>0</v>
      </c>
      <c r="P68" s="4"/>
    </row>
    <row r="69" spans="2:16">
      <c r="B69" s="9" t="str">
        <f t="shared" si="6"/>
        <v/>
      </c>
      <c r="C69" s="157">
        <f>IF(D11="","-",+C68+1)</f>
        <v>2060</v>
      </c>
      <c r="D69" s="163">
        <f>IF(F68+SUM(E$17:E68)=D$10,F68,D$10-SUM(E$17:E68))</f>
        <v>0</v>
      </c>
      <c r="E69" s="164">
        <f>IF(+I14&lt;F68,I14,D69)</f>
        <v>0</v>
      </c>
      <c r="F69" s="163">
        <f t="shared" si="15"/>
        <v>0</v>
      </c>
      <c r="G69" s="165">
        <f t="shared" si="13"/>
        <v>0</v>
      </c>
      <c r="H69" s="147">
        <f t="shared" si="14"/>
        <v>0</v>
      </c>
      <c r="I69" s="160">
        <f t="shared" si="16"/>
        <v>0</v>
      </c>
      <c r="J69" s="160"/>
      <c r="K69" s="335"/>
      <c r="L69" s="162">
        <f t="shared" si="17"/>
        <v>0</v>
      </c>
      <c r="M69" s="335"/>
      <c r="N69" s="162">
        <f t="shared" si="18"/>
        <v>0</v>
      </c>
      <c r="O69" s="162">
        <f t="shared" si="19"/>
        <v>0</v>
      </c>
      <c r="P69" s="4"/>
    </row>
    <row r="70" spans="2:16">
      <c r="B70" s="9" t="str">
        <f t="shared" si="6"/>
        <v/>
      </c>
      <c r="C70" s="157">
        <f>IF(D11="","-",+C69+1)</f>
        <v>2061</v>
      </c>
      <c r="D70" s="163">
        <f>IF(F69+SUM(E$17:E69)=D$10,F69,D$10-SUM(E$17:E69))</f>
        <v>0</v>
      </c>
      <c r="E70" s="164">
        <f>IF(+I14&lt;F69,I14,D70)</f>
        <v>0</v>
      </c>
      <c r="F70" s="163">
        <f t="shared" si="15"/>
        <v>0</v>
      </c>
      <c r="G70" s="165">
        <f t="shared" si="13"/>
        <v>0</v>
      </c>
      <c r="H70" s="147">
        <f t="shared" si="14"/>
        <v>0</v>
      </c>
      <c r="I70" s="160">
        <f t="shared" si="16"/>
        <v>0</v>
      </c>
      <c r="J70" s="160"/>
      <c r="K70" s="335"/>
      <c r="L70" s="162">
        <f t="shared" si="17"/>
        <v>0</v>
      </c>
      <c r="M70" s="335"/>
      <c r="N70" s="162">
        <f t="shared" si="18"/>
        <v>0</v>
      </c>
      <c r="O70" s="162">
        <f t="shared" si="19"/>
        <v>0</v>
      </c>
      <c r="P70" s="4"/>
    </row>
    <row r="71" spans="2:16">
      <c r="B71" s="9" t="str">
        <f t="shared" si="6"/>
        <v/>
      </c>
      <c r="C71" s="157">
        <f>IF(D11="","-",+C70+1)</f>
        <v>2062</v>
      </c>
      <c r="D71" s="163">
        <f>IF(F70+SUM(E$17:E70)=D$10,F70,D$10-SUM(E$17:E70))</f>
        <v>0</v>
      </c>
      <c r="E71" s="164">
        <f>IF(+I14&lt;F70,I14,D71)</f>
        <v>0</v>
      </c>
      <c r="F71" s="163">
        <f t="shared" si="15"/>
        <v>0</v>
      </c>
      <c r="G71" s="165">
        <f t="shared" si="13"/>
        <v>0</v>
      </c>
      <c r="H71" s="147">
        <f t="shared" si="14"/>
        <v>0</v>
      </c>
      <c r="I71" s="160">
        <f t="shared" si="16"/>
        <v>0</v>
      </c>
      <c r="J71" s="160"/>
      <c r="K71" s="335"/>
      <c r="L71" s="162">
        <f t="shared" si="17"/>
        <v>0</v>
      </c>
      <c r="M71" s="335"/>
      <c r="N71" s="162">
        <f t="shared" si="18"/>
        <v>0</v>
      </c>
      <c r="O71" s="162">
        <f t="shared" si="19"/>
        <v>0</v>
      </c>
      <c r="P71" s="4"/>
    </row>
    <row r="72" spans="2:16" ht="13.5" thickBot="1">
      <c r="B72" s="9" t="str">
        <f t="shared" si="6"/>
        <v/>
      </c>
      <c r="C72" s="168">
        <f>IF(D11="","-",+C71+1)</f>
        <v>2063</v>
      </c>
      <c r="D72" s="169">
        <f>IF(F71+SUM(E$17:E71)=D$10,F71,D$10-SUM(E$17:E71))</f>
        <v>0</v>
      </c>
      <c r="E72" s="170">
        <f>IF(+I14&lt;F71,I14,D72)</f>
        <v>0</v>
      </c>
      <c r="F72" s="169">
        <f t="shared" si="15"/>
        <v>0</v>
      </c>
      <c r="G72" s="169">
        <f t="shared" si="13"/>
        <v>0</v>
      </c>
      <c r="H72" s="169">
        <f t="shared" si="14"/>
        <v>0</v>
      </c>
      <c r="I72" s="172">
        <f t="shared" si="16"/>
        <v>0</v>
      </c>
      <c r="J72" s="160"/>
      <c r="K72" s="336"/>
      <c r="L72" s="173">
        <f t="shared" si="17"/>
        <v>0</v>
      </c>
      <c r="M72" s="336"/>
      <c r="N72" s="173">
        <f t="shared" si="18"/>
        <v>0</v>
      </c>
      <c r="O72" s="173">
        <f t="shared" si="19"/>
        <v>0</v>
      </c>
      <c r="P72" s="4"/>
    </row>
    <row r="73" spans="2:16">
      <c r="C73" s="158" t="s">
        <v>72</v>
      </c>
      <c r="D73" s="115"/>
      <c r="E73" s="115">
        <f>SUM(E17:E72)</f>
        <v>1520502.0000000007</v>
      </c>
      <c r="F73" s="115"/>
      <c r="G73" s="115">
        <f>SUM(G17:G72)</f>
        <v>5589214.738868759</v>
      </c>
      <c r="H73" s="115">
        <f>SUM(H17:H72)</f>
        <v>5589214.738868759</v>
      </c>
      <c r="I73" s="115">
        <f>SUM(I17:I72)</f>
        <v>0</v>
      </c>
      <c r="J73" s="115"/>
      <c r="K73" s="115"/>
      <c r="L73" s="115"/>
      <c r="M73" s="115"/>
      <c r="N73" s="115"/>
      <c r="O73" s="4"/>
      <c r="P73" s="4"/>
    </row>
    <row r="74" spans="2:16">
      <c r="D74" s="2"/>
      <c r="E74" s="1"/>
      <c r="F74" s="1"/>
      <c r="G74" s="1"/>
      <c r="H74" s="3"/>
      <c r="I74" s="3"/>
      <c r="J74" s="115"/>
      <c r="K74" s="3"/>
      <c r="L74" s="3"/>
      <c r="M74" s="3"/>
      <c r="N74" s="3"/>
      <c r="O74" s="1"/>
      <c r="P74" s="1"/>
    </row>
    <row r="75" spans="2:16">
      <c r="C75" s="174" t="s">
        <v>101</v>
      </c>
      <c r="D75" s="2"/>
      <c r="E75" s="1"/>
      <c r="F75" s="1"/>
      <c r="G75" s="1"/>
      <c r="H75" s="3"/>
      <c r="I75" s="3"/>
      <c r="J75" s="115"/>
      <c r="K75" s="3"/>
      <c r="L75" s="3"/>
      <c r="M75" s="3"/>
      <c r="N75" s="3"/>
      <c r="O75" s="1"/>
      <c r="P75" s="1"/>
    </row>
    <row r="76" spans="2:16">
      <c r="C76" s="127" t="s">
        <v>73</v>
      </c>
      <c r="D76" s="2"/>
      <c r="E76" s="1"/>
      <c r="F76" s="1"/>
      <c r="G76" s="1"/>
      <c r="H76" s="3"/>
      <c r="I76" s="3"/>
      <c r="J76" s="115"/>
      <c r="K76" s="3"/>
      <c r="L76" s="3"/>
      <c r="M76" s="3"/>
      <c r="N76" s="3"/>
      <c r="O76" s="4"/>
      <c r="P76" s="4"/>
    </row>
    <row r="77" spans="2:16">
      <c r="C77" s="127" t="s">
        <v>74</v>
      </c>
      <c r="D77" s="158"/>
      <c r="E77" s="158"/>
      <c r="F77" s="158"/>
      <c r="G77" s="115"/>
      <c r="H77" s="115"/>
      <c r="I77" s="175"/>
      <c r="J77" s="175"/>
      <c r="K77" s="175"/>
      <c r="L77" s="175"/>
      <c r="M77" s="175"/>
      <c r="N77" s="175"/>
      <c r="O77" s="4"/>
      <c r="P77" s="4"/>
    </row>
    <row r="78" spans="2:16">
      <c r="C78" s="127"/>
      <c r="D78" s="158"/>
      <c r="E78" s="158"/>
      <c r="F78" s="158"/>
      <c r="G78" s="115"/>
      <c r="H78" s="115"/>
      <c r="I78" s="175"/>
      <c r="J78" s="175"/>
      <c r="K78" s="175"/>
      <c r="L78" s="175"/>
      <c r="M78" s="175"/>
      <c r="N78" s="175"/>
      <c r="O78" s="4"/>
      <c r="P78" s="1"/>
    </row>
    <row r="79" spans="2:16">
      <c r="B79" s="1"/>
      <c r="C79" s="22"/>
      <c r="D79" s="2"/>
      <c r="E79" s="1"/>
      <c r="F79" s="111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251"/>
      <c r="D80" s="2"/>
      <c r="E80" s="1"/>
      <c r="F80" s="111"/>
      <c r="G80" s="1"/>
      <c r="H80" s="3"/>
      <c r="I80" s="1"/>
      <c r="J80" s="4"/>
      <c r="K80" s="1"/>
      <c r="L80" s="1"/>
      <c r="M80" s="1"/>
      <c r="N80" s="1"/>
      <c r="P80" s="253" t="s">
        <v>139</v>
      </c>
    </row>
    <row r="81" spans="1:16">
      <c r="B81" s="1"/>
      <c r="C81" s="22"/>
      <c r="D81" s="2"/>
      <c r="E81" s="1"/>
      <c r="F81" s="111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22"/>
      <c r="D82" s="2"/>
      <c r="E82" s="1"/>
      <c r="F82" s="111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252" t="s">
        <v>141</v>
      </c>
      <c r="B83" s="1"/>
      <c r="C83" s="22"/>
      <c r="D83" s="2"/>
      <c r="E83" s="1"/>
      <c r="F83" s="103"/>
      <c r="G83" s="103"/>
      <c r="H83" s="1"/>
      <c r="I83" s="3"/>
      <c r="K83" s="7"/>
      <c r="L83" s="113"/>
      <c r="M83" s="113"/>
      <c r="P83" s="114" t="str">
        <f ca="1">P1</f>
        <v>PSO Project 6 of 28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259" t="s">
        <v>146</v>
      </c>
    </row>
    <row r="85" spans="1:16" ht="18.75" thickBot="1">
      <c r="B85" s="5" t="s">
        <v>37</v>
      </c>
      <c r="C85" s="201" t="s">
        <v>86</v>
      </c>
      <c r="D85" s="2"/>
      <c r="E85" s="1"/>
      <c r="F85" s="1"/>
      <c r="G85" s="1"/>
      <c r="H85" s="1"/>
      <c r="I85" s="3"/>
      <c r="J85" s="3"/>
      <c r="K85" s="115"/>
      <c r="L85" s="3"/>
      <c r="M85" s="3"/>
      <c r="N85" s="3"/>
      <c r="O85" s="115"/>
      <c r="P85" s="1"/>
    </row>
    <row r="86" spans="1:16" ht="15.75" thickBot="1">
      <c r="C86" s="70"/>
      <c r="D86" s="2"/>
      <c r="E86" s="1"/>
      <c r="F86" s="1"/>
      <c r="G86" s="1"/>
      <c r="H86" s="1"/>
      <c r="I86" s="3"/>
      <c r="J86" s="3"/>
      <c r="K86" s="115"/>
      <c r="L86" s="260">
        <f>+J92</f>
        <v>2018</v>
      </c>
      <c r="M86" s="261" t="s">
        <v>8</v>
      </c>
      <c r="N86" s="262" t="s">
        <v>148</v>
      </c>
      <c r="O86" s="263" t="s">
        <v>10</v>
      </c>
      <c r="P86" s="1"/>
    </row>
    <row r="87" spans="1:16" ht="15">
      <c r="C87" s="240" t="s">
        <v>39</v>
      </c>
      <c r="D87" s="2"/>
      <c r="E87" s="1"/>
      <c r="F87" s="1"/>
      <c r="G87" s="1"/>
      <c r="H87" s="117"/>
      <c r="I87" s="1" t="s">
        <v>40</v>
      </c>
      <c r="J87" s="1"/>
      <c r="K87" s="264"/>
      <c r="L87" s="265" t="s">
        <v>149</v>
      </c>
      <c r="M87" s="202">
        <f>IF(J92&lt;D11,0,VLOOKUP(J92,C17:O72,9))</f>
        <v>196553.85018087178</v>
      </c>
      <c r="N87" s="202">
        <f>IF(J92&lt;D11,0,VLOOKUP(J92,C17:O72,11))</f>
        <v>196553.85018087178</v>
      </c>
      <c r="O87" s="203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122"/>
      <c r="J88" s="122"/>
      <c r="K88" s="266"/>
      <c r="L88" s="267" t="s">
        <v>150</v>
      </c>
      <c r="M88" s="204">
        <f>IF(J92&lt;D11,0,VLOOKUP(J92,C99:P154,6))</f>
        <v>160125.3839048628</v>
      </c>
      <c r="N88" s="204">
        <f>IF(J92&lt;D11,0,VLOOKUP(J92,C99:P154,7))</f>
        <v>160125.3839048628</v>
      </c>
      <c r="O88" s="205">
        <f>+N88-M88</f>
        <v>0</v>
      </c>
      <c r="P88" s="1"/>
    </row>
    <row r="89" spans="1:16" ht="13.5" thickBot="1">
      <c r="C89" s="127" t="s">
        <v>87</v>
      </c>
      <c r="D89" s="255" t="str">
        <f>+D7</f>
        <v>Pryor Junction 138/69 Upgrade Transf</v>
      </c>
      <c r="E89" s="1"/>
      <c r="F89" s="1"/>
      <c r="G89" s="1"/>
      <c r="H89" s="1"/>
      <c r="I89" s="3"/>
      <c r="J89" s="3"/>
      <c r="K89" s="268"/>
      <c r="L89" s="269" t="s">
        <v>151</v>
      </c>
      <c r="M89" s="207">
        <f>+M88-M87</f>
        <v>-36428.466276008985</v>
      </c>
      <c r="N89" s="207">
        <f>+N88-N87</f>
        <v>-36428.466276008985</v>
      </c>
      <c r="O89" s="208">
        <f>+O88-O87</f>
        <v>0</v>
      </c>
      <c r="P89" s="1"/>
    </row>
    <row r="90" spans="1:16" ht="13.5" thickBot="1">
      <c r="C90" s="174"/>
      <c r="D90" s="177">
        <f>D8</f>
        <v>0</v>
      </c>
      <c r="E90" s="111"/>
      <c r="F90" s="111"/>
      <c r="G90" s="111"/>
      <c r="H90" s="132"/>
      <c r="I90" s="3"/>
      <c r="J90" s="3"/>
      <c r="K90" s="115"/>
      <c r="L90" s="3"/>
      <c r="M90" s="3"/>
      <c r="N90" s="3"/>
      <c r="O90" s="115"/>
      <c r="P90" s="1"/>
    </row>
    <row r="91" spans="1:16" ht="13.5" thickBot="1">
      <c r="A91" s="107"/>
      <c r="C91" s="209" t="s">
        <v>88</v>
      </c>
      <c r="D91" s="228" t="str">
        <f>+D9</f>
        <v>TP2006090</v>
      </c>
      <c r="E91" s="210"/>
      <c r="F91" s="210"/>
      <c r="G91" s="210"/>
      <c r="H91" s="210"/>
      <c r="I91" s="210"/>
      <c r="J91" s="210"/>
      <c r="K91" s="211"/>
      <c r="P91" s="137"/>
    </row>
    <row r="92" spans="1:16">
      <c r="C92" s="376" t="s">
        <v>216</v>
      </c>
      <c r="D92" s="138">
        <v>1520502</v>
      </c>
      <c r="E92" s="22" t="s">
        <v>89</v>
      </c>
      <c r="H92" s="139"/>
      <c r="I92" s="139"/>
      <c r="J92" s="140">
        <f>+'PSO.WS.G.BPU.ATRR.True-up'!M16</f>
        <v>2018</v>
      </c>
      <c r="K92" s="136"/>
      <c r="L92" s="115" t="s">
        <v>90</v>
      </c>
      <c r="P92" s="4"/>
    </row>
    <row r="93" spans="1:16">
      <c r="C93" s="141" t="s">
        <v>48</v>
      </c>
      <c r="D93" s="223">
        <f>IF(D11=I10,"",D11)</f>
        <v>2008</v>
      </c>
      <c r="E93" s="141" t="s">
        <v>49</v>
      </c>
      <c r="F93" s="139"/>
      <c r="G93" s="139"/>
      <c r="J93" s="143">
        <f>IF(H87="",0,'PSO.WS.G.BPU.ATRR.True-up'!$F$13)</f>
        <v>0</v>
      </c>
      <c r="K93" s="144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141" t="s">
        <v>50</v>
      </c>
      <c r="D94" s="222">
        <f>IF(D11=I10,"",D12)</f>
        <v>4</v>
      </c>
      <c r="E94" s="141" t="s">
        <v>51</v>
      </c>
      <c r="F94" s="139"/>
      <c r="G94" s="139"/>
      <c r="J94" s="145">
        <f>'PSO.WS.G.BPU.ATRR.True-up'!$F$81</f>
        <v>0.10273556682691798</v>
      </c>
      <c r="K94" s="146"/>
      <c r="L94" t="s">
        <v>91</v>
      </c>
      <c r="P94" s="4"/>
    </row>
    <row r="95" spans="1:16">
      <c r="C95" s="141" t="s">
        <v>53</v>
      </c>
      <c r="D95" s="143">
        <f>'PSO.WS.G.BPU.ATRR.True-up'!F$93</f>
        <v>43</v>
      </c>
      <c r="E95" s="141" t="s">
        <v>54</v>
      </c>
      <c r="F95" s="139"/>
      <c r="G95" s="139"/>
      <c r="J95" s="145">
        <f>IF(H87="",J94,'PSO.WS.G.BPU.ATRR.True-up'!$F$80)</f>
        <v>0.10273556682691798</v>
      </c>
      <c r="K95" s="61"/>
      <c r="L95" s="115" t="s">
        <v>55</v>
      </c>
      <c r="M95" s="61"/>
      <c r="N95" s="61"/>
      <c r="O95" s="61"/>
      <c r="P95" s="4"/>
    </row>
    <row r="96" spans="1:16" ht="13.5" thickBot="1">
      <c r="C96" s="141" t="s">
        <v>56</v>
      </c>
      <c r="D96" s="224" t="str">
        <f>+D14</f>
        <v>No</v>
      </c>
      <c r="E96" s="206" t="s">
        <v>58</v>
      </c>
      <c r="F96" s="212"/>
      <c r="G96" s="212"/>
      <c r="H96" s="213"/>
      <c r="I96" s="213"/>
      <c r="J96" s="130">
        <f>IF(D92=0,0,ROUND(D92/D95,0))</f>
        <v>35361</v>
      </c>
      <c r="K96" s="115"/>
      <c r="L96" s="115"/>
      <c r="M96" s="115"/>
      <c r="N96" s="115"/>
      <c r="O96" s="115"/>
      <c r="P96" s="4"/>
    </row>
    <row r="97" spans="1:16" ht="38.25">
      <c r="A97" s="6"/>
      <c r="B97" s="6"/>
      <c r="C97" s="214" t="s">
        <v>45</v>
      </c>
      <c r="D97" s="215" t="s">
        <v>59</v>
      </c>
      <c r="E97" s="151" t="s">
        <v>60</v>
      </c>
      <c r="F97" s="151" t="s">
        <v>61</v>
      </c>
      <c r="G97" s="149" t="s">
        <v>96</v>
      </c>
      <c r="H97" s="363" t="s">
        <v>277</v>
      </c>
      <c r="I97" s="339" t="s">
        <v>278</v>
      </c>
      <c r="J97" s="214" t="s">
        <v>93</v>
      </c>
      <c r="K97" s="216"/>
      <c r="L97" s="339" t="s">
        <v>203</v>
      </c>
      <c r="M97" s="151" t="s">
        <v>94</v>
      </c>
      <c r="N97" s="339" t="s">
        <v>203</v>
      </c>
      <c r="O97" s="151" t="s">
        <v>94</v>
      </c>
      <c r="P97" s="151" t="s">
        <v>64</v>
      </c>
    </row>
    <row r="98" spans="1:16" ht="13.5" thickBot="1">
      <c r="C98" s="152" t="s">
        <v>65</v>
      </c>
      <c r="D98" s="217" t="s">
        <v>66</v>
      </c>
      <c r="E98" s="152" t="s">
        <v>67</v>
      </c>
      <c r="F98" s="152" t="s">
        <v>66</v>
      </c>
      <c r="G98" s="152" t="s">
        <v>66</v>
      </c>
      <c r="H98" s="319" t="s">
        <v>68</v>
      </c>
      <c r="I98" s="153" t="s">
        <v>69</v>
      </c>
      <c r="J98" s="154" t="s">
        <v>99</v>
      </c>
      <c r="K98" s="155"/>
      <c r="L98" s="156" t="s">
        <v>71</v>
      </c>
      <c r="M98" s="156" t="s">
        <v>71</v>
      </c>
      <c r="N98" s="156" t="s">
        <v>100</v>
      </c>
      <c r="O98" s="156" t="s">
        <v>100</v>
      </c>
      <c r="P98" s="156" t="s">
        <v>100</v>
      </c>
    </row>
    <row r="99" spans="1:16">
      <c r="C99" s="157">
        <f>IF(D93= "","-",D93)</f>
        <v>2008</v>
      </c>
      <c r="D99" s="366">
        <v>0</v>
      </c>
      <c r="E99" s="368">
        <v>19125</v>
      </c>
      <c r="F99" s="371">
        <v>1501348</v>
      </c>
      <c r="G99" s="373">
        <v>750764</v>
      </c>
      <c r="H99" s="374">
        <v>138367</v>
      </c>
      <c r="I99" s="375">
        <v>138367</v>
      </c>
      <c r="J99" s="162">
        <f t="shared" ref="J99:J130" si="20">+I99-H99</f>
        <v>0</v>
      </c>
      <c r="K99" s="162"/>
      <c r="L99" s="337">
        <v>138367</v>
      </c>
      <c r="M99" s="161">
        <f t="shared" ref="M99:M130" si="21">IF(L99&lt;&gt;0,+H99-L99,0)</f>
        <v>0</v>
      </c>
      <c r="N99" s="337">
        <v>138367</v>
      </c>
      <c r="O99" s="161">
        <f t="shared" ref="O99:O130" si="22">IF(N99&lt;&gt;0,+I99-N99,0)</f>
        <v>0</v>
      </c>
      <c r="P99" s="161">
        <f t="shared" ref="P99:P130" si="23">+O99-M99</f>
        <v>0</v>
      </c>
    </row>
    <row r="100" spans="1:16">
      <c r="B100" s="9" t="str">
        <f>IF(D100=F99,"","IU")</f>
        <v>IU</v>
      </c>
      <c r="C100" s="157">
        <f>IF(D93="","-",+C99+1)</f>
        <v>2009</v>
      </c>
      <c r="D100" s="366">
        <v>1501377</v>
      </c>
      <c r="E100" s="368">
        <v>27152</v>
      </c>
      <c r="F100" s="371">
        <v>1474225</v>
      </c>
      <c r="G100" s="371">
        <v>1487801</v>
      </c>
      <c r="H100" s="368">
        <v>244680.82784018715</v>
      </c>
      <c r="I100" s="370">
        <v>244680.82784018715</v>
      </c>
      <c r="J100" s="162">
        <f t="shared" si="20"/>
        <v>0</v>
      </c>
      <c r="K100" s="162"/>
      <c r="L100" s="380">
        <f t="shared" ref="L100:L105" si="24">H100</f>
        <v>244680.82784018715</v>
      </c>
      <c r="M100" s="381">
        <f t="shared" si="21"/>
        <v>0</v>
      </c>
      <c r="N100" s="380">
        <f t="shared" ref="N100:N105" si="25">I100</f>
        <v>244680.82784018715</v>
      </c>
      <c r="O100" s="162">
        <f t="shared" si="22"/>
        <v>0</v>
      </c>
      <c r="P100" s="162">
        <f t="shared" si="23"/>
        <v>0</v>
      </c>
    </row>
    <row r="101" spans="1:16">
      <c r="B101" s="9" t="str">
        <f t="shared" ref="B101:B154" si="26">IF(D101=F100,"","IU")</f>
        <v/>
      </c>
      <c r="C101" s="157">
        <f>IF(D93="","-",+C100+1)</f>
        <v>2010</v>
      </c>
      <c r="D101" s="366">
        <v>1474225</v>
      </c>
      <c r="E101" s="368">
        <v>29814</v>
      </c>
      <c r="F101" s="371">
        <v>1444411</v>
      </c>
      <c r="G101" s="371">
        <v>1459318</v>
      </c>
      <c r="H101" s="368">
        <v>264494.5477733505</v>
      </c>
      <c r="I101" s="370">
        <v>264494.5477733505</v>
      </c>
      <c r="J101" s="162">
        <f t="shared" si="20"/>
        <v>0</v>
      </c>
      <c r="K101" s="162"/>
      <c r="L101" s="380">
        <f t="shared" si="24"/>
        <v>264494.5477733505</v>
      </c>
      <c r="M101" s="381">
        <f t="shared" si="21"/>
        <v>0</v>
      </c>
      <c r="N101" s="380">
        <f t="shared" si="25"/>
        <v>264494.5477733505</v>
      </c>
      <c r="O101" s="162">
        <f t="shared" si="22"/>
        <v>0</v>
      </c>
      <c r="P101" s="162">
        <f t="shared" si="23"/>
        <v>0</v>
      </c>
    </row>
    <row r="102" spans="1:16">
      <c r="B102" s="9" t="str">
        <f t="shared" si="26"/>
        <v/>
      </c>
      <c r="C102" s="157">
        <f>IF(D93="","-",+C101+1)</f>
        <v>2011</v>
      </c>
      <c r="D102" s="366">
        <v>1444411</v>
      </c>
      <c r="E102" s="368">
        <v>29240</v>
      </c>
      <c r="F102" s="371">
        <v>1415171</v>
      </c>
      <c r="G102" s="371">
        <v>1429791</v>
      </c>
      <c r="H102" s="368">
        <v>229143.9952359481</v>
      </c>
      <c r="I102" s="370">
        <v>229143.9952359481</v>
      </c>
      <c r="J102" s="162">
        <f t="shared" si="20"/>
        <v>0</v>
      </c>
      <c r="K102" s="162"/>
      <c r="L102" s="380">
        <f t="shared" si="24"/>
        <v>229143.9952359481</v>
      </c>
      <c r="M102" s="381">
        <f t="shared" si="21"/>
        <v>0</v>
      </c>
      <c r="N102" s="380">
        <f t="shared" si="25"/>
        <v>229143.9952359481</v>
      </c>
      <c r="O102" s="162">
        <f t="shared" si="22"/>
        <v>0</v>
      </c>
      <c r="P102" s="162">
        <f t="shared" si="23"/>
        <v>0</v>
      </c>
    </row>
    <row r="103" spans="1:16">
      <c r="B103" s="9" t="str">
        <f t="shared" si="26"/>
        <v/>
      </c>
      <c r="C103" s="157">
        <f>IF(D93="","-",+C102+1)</f>
        <v>2012</v>
      </c>
      <c r="D103" s="366">
        <v>1415171</v>
      </c>
      <c r="E103" s="368">
        <v>29240</v>
      </c>
      <c r="F103" s="371">
        <v>1385931</v>
      </c>
      <c r="G103" s="371">
        <v>1400551</v>
      </c>
      <c r="H103" s="368">
        <v>230716.93888695308</v>
      </c>
      <c r="I103" s="370">
        <v>230716.93888695308</v>
      </c>
      <c r="J103" s="162">
        <v>0</v>
      </c>
      <c r="K103" s="162"/>
      <c r="L103" s="380">
        <f t="shared" si="24"/>
        <v>230716.93888695308</v>
      </c>
      <c r="M103" s="381">
        <f t="shared" ref="M103:M108" si="27">IF(L103&lt;&gt;0,+H103-L103,0)</f>
        <v>0</v>
      </c>
      <c r="N103" s="380">
        <f t="shared" si="25"/>
        <v>230716.93888695308</v>
      </c>
      <c r="O103" s="162">
        <f t="shared" ref="O103:O108" si="28">IF(N103&lt;&gt;0,+I103-N103,0)</f>
        <v>0</v>
      </c>
      <c r="P103" s="162">
        <f t="shared" ref="P103:P108" si="29">+O103-M103</f>
        <v>0</v>
      </c>
    </row>
    <row r="104" spans="1:16">
      <c r="B104" s="9" t="str">
        <f t="shared" si="26"/>
        <v/>
      </c>
      <c r="C104" s="157">
        <f>IF(D93="","-",+C103+1)</f>
        <v>2013</v>
      </c>
      <c r="D104" s="366">
        <v>1385931</v>
      </c>
      <c r="E104" s="368">
        <v>29240</v>
      </c>
      <c r="F104" s="371">
        <v>1356691</v>
      </c>
      <c r="G104" s="371">
        <v>1371311</v>
      </c>
      <c r="H104" s="368">
        <v>226625.94850487544</v>
      </c>
      <c r="I104" s="370">
        <v>226625.94850487544</v>
      </c>
      <c r="J104" s="162">
        <v>0</v>
      </c>
      <c r="K104" s="162"/>
      <c r="L104" s="380">
        <f t="shared" si="24"/>
        <v>226625.94850487544</v>
      </c>
      <c r="M104" s="381">
        <f t="shared" si="27"/>
        <v>0</v>
      </c>
      <c r="N104" s="380">
        <f t="shared" si="25"/>
        <v>226625.94850487544</v>
      </c>
      <c r="O104" s="162">
        <f t="shared" si="28"/>
        <v>0</v>
      </c>
      <c r="P104" s="162">
        <f t="shared" si="29"/>
        <v>0</v>
      </c>
    </row>
    <row r="105" spans="1:16">
      <c r="B105" s="9" t="str">
        <f t="shared" si="26"/>
        <v/>
      </c>
      <c r="C105" s="157">
        <f>IF(D93="","-",+C104+1)</f>
        <v>2014</v>
      </c>
      <c r="D105" s="366">
        <v>1356691</v>
      </c>
      <c r="E105" s="368">
        <v>29240</v>
      </c>
      <c r="F105" s="371">
        <v>1327451</v>
      </c>
      <c r="G105" s="371">
        <v>1342071</v>
      </c>
      <c r="H105" s="368">
        <v>217929.69653942893</v>
      </c>
      <c r="I105" s="370">
        <v>217929.69653942893</v>
      </c>
      <c r="J105" s="162">
        <v>0</v>
      </c>
      <c r="K105" s="162"/>
      <c r="L105" s="380">
        <f t="shared" si="24"/>
        <v>217929.69653942893</v>
      </c>
      <c r="M105" s="381">
        <f t="shared" si="27"/>
        <v>0</v>
      </c>
      <c r="N105" s="380">
        <f t="shared" si="25"/>
        <v>217929.69653942893</v>
      </c>
      <c r="O105" s="162">
        <f t="shared" si="28"/>
        <v>0</v>
      </c>
      <c r="P105" s="162">
        <f t="shared" si="29"/>
        <v>0</v>
      </c>
    </row>
    <row r="106" spans="1:16">
      <c r="B106" s="9" t="str">
        <f t="shared" si="26"/>
        <v/>
      </c>
      <c r="C106" s="157">
        <f>IF(D93="","-",+C105+1)</f>
        <v>2015</v>
      </c>
      <c r="D106" s="366">
        <v>1327451</v>
      </c>
      <c r="E106" s="368">
        <v>29240</v>
      </c>
      <c r="F106" s="371">
        <v>1298211</v>
      </c>
      <c r="G106" s="371">
        <v>1312831</v>
      </c>
      <c r="H106" s="368">
        <v>208365.23426858318</v>
      </c>
      <c r="I106" s="370">
        <v>208365.23426858318</v>
      </c>
      <c r="J106" s="162">
        <f t="shared" si="20"/>
        <v>0</v>
      </c>
      <c r="K106" s="162"/>
      <c r="L106" s="380">
        <f>H106</f>
        <v>208365.23426858318</v>
      </c>
      <c r="M106" s="381">
        <f t="shared" si="27"/>
        <v>0</v>
      </c>
      <c r="N106" s="380">
        <f>I106</f>
        <v>208365.23426858318</v>
      </c>
      <c r="O106" s="162">
        <f t="shared" si="28"/>
        <v>0</v>
      </c>
      <c r="P106" s="162">
        <f t="shared" si="29"/>
        <v>0</v>
      </c>
    </row>
    <row r="107" spans="1:16">
      <c r="B107" s="9" t="str">
        <f t="shared" si="26"/>
        <v/>
      </c>
      <c r="C107" s="157">
        <f>IF(D93="","-",+C106+1)</f>
        <v>2016</v>
      </c>
      <c r="D107" s="366">
        <v>1298211</v>
      </c>
      <c r="E107" s="368">
        <v>33054</v>
      </c>
      <c r="F107" s="371">
        <v>1265157</v>
      </c>
      <c r="G107" s="371">
        <v>1281684</v>
      </c>
      <c r="H107" s="368">
        <v>198283.25268027262</v>
      </c>
      <c r="I107" s="370">
        <v>198283.25268027262</v>
      </c>
      <c r="J107" s="162">
        <v>0</v>
      </c>
      <c r="K107" s="162"/>
      <c r="L107" s="380">
        <f>H107</f>
        <v>198283.25268027262</v>
      </c>
      <c r="M107" s="381">
        <f t="shared" si="27"/>
        <v>0</v>
      </c>
      <c r="N107" s="380">
        <f>I107</f>
        <v>198283.25268027262</v>
      </c>
      <c r="O107" s="162">
        <f t="shared" si="28"/>
        <v>0</v>
      </c>
      <c r="P107" s="162">
        <f t="shared" si="29"/>
        <v>0</v>
      </c>
    </row>
    <row r="108" spans="1:16">
      <c r="B108" s="9" t="str">
        <f t="shared" si="26"/>
        <v/>
      </c>
      <c r="C108" s="157">
        <f>IF(D93="","-",+C107+1)</f>
        <v>2017</v>
      </c>
      <c r="D108" s="366">
        <v>1265157</v>
      </c>
      <c r="E108" s="368">
        <v>33054</v>
      </c>
      <c r="F108" s="371">
        <v>1232103</v>
      </c>
      <c r="G108" s="371">
        <v>1248630</v>
      </c>
      <c r="H108" s="368">
        <v>191445.86392166355</v>
      </c>
      <c r="I108" s="370">
        <v>191445.86392166355</v>
      </c>
      <c r="J108" s="162">
        <f t="shared" si="20"/>
        <v>0</v>
      </c>
      <c r="K108" s="162"/>
      <c r="L108" s="380">
        <f>H108</f>
        <v>191445.86392166355</v>
      </c>
      <c r="M108" s="381">
        <f t="shared" si="27"/>
        <v>0</v>
      </c>
      <c r="N108" s="380">
        <f>I108</f>
        <v>191445.86392166355</v>
      </c>
      <c r="O108" s="162">
        <f t="shared" si="28"/>
        <v>0</v>
      </c>
      <c r="P108" s="162">
        <f t="shared" si="29"/>
        <v>0</v>
      </c>
    </row>
    <row r="109" spans="1:16">
      <c r="B109" s="9" t="str">
        <f t="shared" si="26"/>
        <v/>
      </c>
      <c r="C109" s="157">
        <f>IF(D93="","-",+C108+1)</f>
        <v>2018</v>
      </c>
      <c r="D109" s="158">
        <f>IF(F108+SUM(E$99:E108)=D$92,F108,D$92-SUM(E$99:E108))</f>
        <v>1232103</v>
      </c>
      <c r="E109" s="165">
        <f>IF(+J96&lt;F108,J96,D109)</f>
        <v>35361</v>
      </c>
      <c r="F109" s="163">
        <f t="shared" ref="F109:F130" si="30">+D109-E109</f>
        <v>1196742</v>
      </c>
      <c r="G109" s="163">
        <f t="shared" ref="G109:G130" si="31">+(F109+D109)/2</f>
        <v>1214422.5</v>
      </c>
      <c r="H109" s="167">
        <f t="shared" ref="H109:H154" si="32">+J$94*G109+E109</f>
        <v>160125.3839048628</v>
      </c>
      <c r="I109" s="317">
        <f t="shared" ref="I109:I154" si="33">+J$95*G109+E109</f>
        <v>160125.3839048628</v>
      </c>
      <c r="J109" s="162">
        <f t="shared" si="20"/>
        <v>0</v>
      </c>
      <c r="K109" s="162"/>
      <c r="L109" s="335"/>
      <c r="M109" s="162">
        <f t="shared" si="21"/>
        <v>0</v>
      </c>
      <c r="N109" s="335"/>
      <c r="O109" s="162">
        <f t="shared" si="22"/>
        <v>0</v>
      </c>
      <c r="P109" s="162">
        <f t="shared" si="23"/>
        <v>0</v>
      </c>
    </row>
    <row r="110" spans="1:16">
      <c r="B110" s="9" t="str">
        <f t="shared" si="26"/>
        <v/>
      </c>
      <c r="C110" s="157">
        <f>IF(D93="","-",+C109+1)</f>
        <v>2019</v>
      </c>
      <c r="D110" s="158">
        <f>IF(F109+SUM(E$99:E109)=D$92,F109,D$92-SUM(E$99:E109))</f>
        <v>1196742</v>
      </c>
      <c r="E110" s="165">
        <f>IF(+J96&lt;F109,J96,D110)</f>
        <v>35361</v>
      </c>
      <c r="F110" s="163">
        <f t="shared" si="30"/>
        <v>1161381</v>
      </c>
      <c r="G110" s="163">
        <f t="shared" si="31"/>
        <v>1179061.5</v>
      </c>
      <c r="H110" s="167">
        <f t="shared" si="32"/>
        <v>156492.55152629616</v>
      </c>
      <c r="I110" s="317">
        <f t="shared" si="33"/>
        <v>156492.55152629616</v>
      </c>
      <c r="J110" s="162">
        <f t="shared" si="20"/>
        <v>0</v>
      </c>
      <c r="K110" s="162"/>
      <c r="L110" s="335"/>
      <c r="M110" s="162">
        <f t="shared" si="21"/>
        <v>0</v>
      </c>
      <c r="N110" s="335"/>
      <c r="O110" s="162">
        <f t="shared" si="22"/>
        <v>0</v>
      </c>
      <c r="P110" s="162">
        <f t="shared" si="23"/>
        <v>0</v>
      </c>
    </row>
    <row r="111" spans="1:16">
      <c r="B111" s="9" t="str">
        <f t="shared" si="26"/>
        <v/>
      </c>
      <c r="C111" s="157">
        <f>IF(D93="","-",+C110+1)</f>
        <v>2020</v>
      </c>
      <c r="D111" s="158">
        <f>IF(F110+SUM(E$99:E110)=D$92,F110,D$92-SUM(E$99:E110))</f>
        <v>1161381</v>
      </c>
      <c r="E111" s="165">
        <f>IF(+J96&lt;F110,J96,D111)</f>
        <v>35361</v>
      </c>
      <c r="F111" s="163">
        <f t="shared" si="30"/>
        <v>1126020</v>
      </c>
      <c r="G111" s="163">
        <f t="shared" si="31"/>
        <v>1143700.5</v>
      </c>
      <c r="H111" s="167">
        <f t="shared" si="32"/>
        <v>152859.71914772951</v>
      </c>
      <c r="I111" s="317">
        <f t="shared" si="33"/>
        <v>152859.71914772951</v>
      </c>
      <c r="J111" s="162">
        <f t="shared" si="20"/>
        <v>0</v>
      </c>
      <c r="K111" s="162"/>
      <c r="L111" s="335"/>
      <c r="M111" s="162">
        <f t="shared" si="21"/>
        <v>0</v>
      </c>
      <c r="N111" s="335"/>
      <c r="O111" s="162">
        <f t="shared" si="22"/>
        <v>0</v>
      </c>
      <c r="P111" s="162">
        <f t="shared" si="23"/>
        <v>0</v>
      </c>
    </row>
    <row r="112" spans="1:16">
      <c r="B112" s="9" t="str">
        <f t="shared" si="26"/>
        <v/>
      </c>
      <c r="C112" s="157">
        <f>IF(D93="","-",+C111+1)</f>
        <v>2021</v>
      </c>
      <c r="D112" s="158">
        <f>IF(F111+SUM(E$99:E111)=D$92,F111,D$92-SUM(E$99:E111))</f>
        <v>1126020</v>
      </c>
      <c r="E112" s="165">
        <f>IF(+J96&lt;F111,J96,D112)</f>
        <v>35361</v>
      </c>
      <c r="F112" s="163">
        <f t="shared" si="30"/>
        <v>1090659</v>
      </c>
      <c r="G112" s="163">
        <f t="shared" si="31"/>
        <v>1108339.5</v>
      </c>
      <c r="H112" s="167">
        <f t="shared" si="32"/>
        <v>149226.88676916284</v>
      </c>
      <c r="I112" s="317">
        <f t="shared" si="33"/>
        <v>149226.88676916284</v>
      </c>
      <c r="J112" s="162">
        <f t="shared" si="20"/>
        <v>0</v>
      </c>
      <c r="K112" s="162"/>
      <c r="L112" s="335"/>
      <c r="M112" s="162">
        <f t="shared" si="21"/>
        <v>0</v>
      </c>
      <c r="N112" s="335"/>
      <c r="O112" s="162">
        <f t="shared" si="22"/>
        <v>0</v>
      </c>
      <c r="P112" s="162">
        <f t="shared" si="23"/>
        <v>0</v>
      </c>
    </row>
    <row r="113" spans="2:16">
      <c r="B113" s="9" t="str">
        <f t="shared" si="26"/>
        <v/>
      </c>
      <c r="C113" s="157">
        <f>IF(D93="","-",+C112+1)</f>
        <v>2022</v>
      </c>
      <c r="D113" s="158">
        <f>IF(F112+SUM(E$99:E112)=D$92,F112,D$92-SUM(E$99:E112))</f>
        <v>1090659</v>
      </c>
      <c r="E113" s="165">
        <f>IF(+J96&lt;F112,J96,D113)</f>
        <v>35361</v>
      </c>
      <c r="F113" s="163">
        <f t="shared" si="30"/>
        <v>1055298</v>
      </c>
      <c r="G113" s="163">
        <f t="shared" si="31"/>
        <v>1072978.5</v>
      </c>
      <c r="H113" s="167">
        <f t="shared" si="32"/>
        <v>145594.05439059623</v>
      </c>
      <c r="I113" s="317">
        <f t="shared" si="33"/>
        <v>145594.05439059623</v>
      </c>
      <c r="J113" s="162">
        <f t="shared" si="20"/>
        <v>0</v>
      </c>
      <c r="K113" s="162"/>
      <c r="L113" s="335"/>
      <c r="M113" s="162">
        <f t="shared" si="21"/>
        <v>0</v>
      </c>
      <c r="N113" s="335"/>
      <c r="O113" s="162">
        <f t="shared" si="22"/>
        <v>0</v>
      </c>
      <c r="P113" s="162">
        <f t="shared" si="23"/>
        <v>0</v>
      </c>
    </row>
    <row r="114" spans="2:16">
      <c r="B114" s="9" t="str">
        <f t="shared" si="26"/>
        <v/>
      </c>
      <c r="C114" s="157">
        <f>IF(D93="","-",+C113+1)</f>
        <v>2023</v>
      </c>
      <c r="D114" s="158">
        <f>IF(F113+SUM(E$99:E113)=D$92,F113,D$92-SUM(E$99:E113))</f>
        <v>1055298</v>
      </c>
      <c r="E114" s="165">
        <f>IF(+J96&lt;F113,J96,D114)</f>
        <v>35361</v>
      </c>
      <c r="F114" s="163">
        <f t="shared" si="30"/>
        <v>1019937</v>
      </c>
      <c r="G114" s="163">
        <f t="shared" si="31"/>
        <v>1037617.5</v>
      </c>
      <c r="H114" s="167">
        <f t="shared" si="32"/>
        <v>141961.22201202955</v>
      </c>
      <c r="I114" s="317">
        <f t="shared" si="33"/>
        <v>141961.22201202955</v>
      </c>
      <c r="J114" s="162">
        <f t="shared" si="20"/>
        <v>0</v>
      </c>
      <c r="K114" s="162"/>
      <c r="L114" s="335"/>
      <c r="M114" s="162">
        <f t="shared" si="21"/>
        <v>0</v>
      </c>
      <c r="N114" s="335"/>
      <c r="O114" s="162">
        <f t="shared" si="22"/>
        <v>0</v>
      </c>
      <c r="P114" s="162">
        <f t="shared" si="23"/>
        <v>0</v>
      </c>
    </row>
    <row r="115" spans="2:16">
      <c r="B115" s="9" t="str">
        <f t="shared" si="26"/>
        <v/>
      </c>
      <c r="C115" s="157">
        <f>IF(D93="","-",+C114+1)</f>
        <v>2024</v>
      </c>
      <c r="D115" s="158">
        <f>IF(F114+SUM(E$99:E114)=D$92,F114,D$92-SUM(E$99:E114))</f>
        <v>1019937</v>
      </c>
      <c r="E115" s="165">
        <f>IF(+J96&lt;F114,J96,D115)</f>
        <v>35361</v>
      </c>
      <c r="F115" s="163">
        <f t="shared" si="30"/>
        <v>984576</v>
      </c>
      <c r="G115" s="163">
        <f t="shared" si="31"/>
        <v>1002256.5</v>
      </c>
      <c r="H115" s="167">
        <f t="shared" si="32"/>
        <v>138328.38963346294</v>
      </c>
      <c r="I115" s="317">
        <f t="shared" si="33"/>
        <v>138328.38963346294</v>
      </c>
      <c r="J115" s="162">
        <f t="shared" si="20"/>
        <v>0</v>
      </c>
      <c r="K115" s="162"/>
      <c r="L115" s="335"/>
      <c r="M115" s="162">
        <f t="shared" si="21"/>
        <v>0</v>
      </c>
      <c r="N115" s="335"/>
      <c r="O115" s="162">
        <f t="shared" si="22"/>
        <v>0</v>
      </c>
      <c r="P115" s="162">
        <f t="shared" si="23"/>
        <v>0</v>
      </c>
    </row>
    <row r="116" spans="2:16">
      <c r="B116" s="9" t="str">
        <f t="shared" si="26"/>
        <v/>
      </c>
      <c r="C116" s="157">
        <f>IF(D93="","-",+C115+1)</f>
        <v>2025</v>
      </c>
      <c r="D116" s="158">
        <f>IF(F115+SUM(E$99:E115)=D$92,F115,D$92-SUM(E$99:E115))</f>
        <v>984576</v>
      </c>
      <c r="E116" s="165">
        <f>IF(+J96&lt;F115,J96,D116)</f>
        <v>35361</v>
      </c>
      <c r="F116" s="163">
        <f t="shared" si="30"/>
        <v>949215</v>
      </c>
      <c r="G116" s="163">
        <f t="shared" si="31"/>
        <v>966895.5</v>
      </c>
      <c r="H116" s="167">
        <f t="shared" si="32"/>
        <v>134695.55725489627</v>
      </c>
      <c r="I116" s="317">
        <f t="shared" si="33"/>
        <v>134695.55725489627</v>
      </c>
      <c r="J116" s="162">
        <f t="shared" si="20"/>
        <v>0</v>
      </c>
      <c r="K116" s="162"/>
      <c r="L116" s="335"/>
      <c r="M116" s="162">
        <f t="shared" si="21"/>
        <v>0</v>
      </c>
      <c r="N116" s="335"/>
      <c r="O116" s="162">
        <f t="shared" si="22"/>
        <v>0</v>
      </c>
      <c r="P116" s="162">
        <f t="shared" si="23"/>
        <v>0</v>
      </c>
    </row>
    <row r="117" spans="2:16">
      <c r="B117" s="9" t="str">
        <f t="shared" si="26"/>
        <v/>
      </c>
      <c r="C117" s="157">
        <f>IF(D93="","-",+C116+1)</f>
        <v>2026</v>
      </c>
      <c r="D117" s="158">
        <f>IF(F116+SUM(E$99:E116)=D$92,F116,D$92-SUM(E$99:E116))</f>
        <v>949215</v>
      </c>
      <c r="E117" s="165">
        <f>IF(+J96&lt;F116,J96,D117)</f>
        <v>35361</v>
      </c>
      <c r="F117" s="163">
        <f t="shared" si="30"/>
        <v>913854</v>
      </c>
      <c r="G117" s="163">
        <f t="shared" si="31"/>
        <v>931534.5</v>
      </c>
      <c r="H117" s="167">
        <f t="shared" si="32"/>
        <v>131062.72487632962</v>
      </c>
      <c r="I117" s="317">
        <f t="shared" si="33"/>
        <v>131062.72487632962</v>
      </c>
      <c r="J117" s="162">
        <f t="shared" si="20"/>
        <v>0</v>
      </c>
      <c r="K117" s="162"/>
      <c r="L117" s="335"/>
      <c r="M117" s="162">
        <f t="shared" si="21"/>
        <v>0</v>
      </c>
      <c r="N117" s="335"/>
      <c r="O117" s="162">
        <f t="shared" si="22"/>
        <v>0</v>
      </c>
      <c r="P117" s="162">
        <f t="shared" si="23"/>
        <v>0</v>
      </c>
    </row>
    <row r="118" spans="2:16">
      <c r="B118" s="9" t="str">
        <f t="shared" si="26"/>
        <v/>
      </c>
      <c r="C118" s="157">
        <f>IF(D93="","-",+C117+1)</f>
        <v>2027</v>
      </c>
      <c r="D118" s="158">
        <f>IF(F117+SUM(E$99:E117)=D$92,F117,D$92-SUM(E$99:E117))</f>
        <v>913854</v>
      </c>
      <c r="E118" s="165">
        <f>IF(+J96&lt;F117,J96,D118)</f>
        <v>35361</v>
      </c>
      <c r="F118" s="163">
        <f t="shared" si="30"/>
        <v>878493</v>
      </c>
      <c r="G118" s="163">
        <f t="shared" si="31"/>
        <v>896173.5</v>
      </c>
      <c r="H118" s="167">
        <f t="shared" si="32"/>
        <v>127429.89249776298</v>
      </c>
      <c r="I118" s="317">
        <f t="shared" si="33"/>
        <v>127429.89249776298</v>
      </c>
      <c r="J118" s="162">
        <f t="shared" si="20"/>
        <v>0</v>
      </c>
      <c r="K118" s="162"/>
      <c r="L118" s="335"/>
      <c r="M118" s="162">
        <f t="shared" si="21"/>
        <v>0</v>
      </c>
      <c r="N118" s="335"/>
      <c r="O118" s="162">
        <f t="shared" si="22"/>
        <v>0</v>
      </c>
      <c r="P118" s="162">
        <f t="shared" si="23"/>
        <v>0</v>
      </c>
    </row>
    <row r="119" spans="2:16">
      <c r="B119" s="9" t="str">
        <f t="shared" si="26"/>
        <v/>
      </c>
      <c r="C119" s="157">
        <f>IF(D93="","-",+C118+1)</f>
        <v>2028</v>
      </c>
      <c r="D119" s="158">
        <f>IF(F118+SUM(E$99:E118)=D$92,F118,D$92-SUM(E$99:E118))</f>
        <v>878493</v>
      </c>
      <c r="E119" s="165">
        <f>IF(+J96&lt;F118,J96,D119)</f>
        <v>35361</v>
      </c>
      <c r="F119" s="163">
        <f t="shared" si="30"/>
        <v>843132</v>
      </c>
      <c r="G119" s="163">
        <f t="shared" si="31"/>
        <v>860812.5</v>
      </c>
      <c r="H119" s="167">
        <f t="shared" si="32"/>
        <v>123797.06011919634</v>
      </c>
      <c r="I119" s="317">
        <f t="shared" si="33"/>
        <v>123797.06011919634</v>
      </c>
      <c r="J119" s="162">
        <f t="shared" si="20"/>
        <v>0</v>
      </c>
      <c r="K119" s="162"/>
      <c r="L119" s="335"/>
      <c r="M119" s="162">
        <f t="shared" si="21"/>
        <v>0</v>
      </c>
      <c r="N119" s="335"/>
      <c r="O119" s="162">
        <f t="shared" si="22"/>
        <v>0</v>
      </c>
      <c r="P119" s="162">
        <f t="shared" si="23"/>
        <v>0</v>
      </c>
    </row>
    <row r="120" spans="2:16">
      <c r="B120" s="9" t="str">
        <f t="shared" si="26"/>
        <v/>
      </c>
      <c r="C120" s="157">
        <f>IF(D93="","-",+C119+1)</f>
        <v>2029</v>
      </c>
      <c r="D120" s="158">
        <f>IF(F119+SUM(E$99:E119)=D$92,F119,D$92-SUM(E$99:E119))</f>
        <v>843132</v>
      </c>
      <c r="E120" s="165">
        <f>IF(+J96&lt;F119,J96,D120)</f>
        <v>35361</v>
      </c>
      <c r="F120" s="163">
        <f t="shared" si="30"/>
        <v>807771</v>
      </c>
      <c r="G120" s="163">
        <f t="shared" si="31"/>
        <v>825451.5</v>
      </c>
      <c r="H120" s="167">
        <f t="shared" si="32"/>
        <v>120164.22774062969</v>
      </c>
      <c r="I120" s="317">
        <f t="shared" si="33"/>
        <v>120164.22774062969</v>
      </c>
      <c r="J120" s="162">
        <f t="shared" si="20"/>
        <v>0</v>
      </c>
      <c r="K120" s="162"/>
      <c r="L120" s="335"/>
      <c r="M120" s="162">
        <f t="shared" si="21"/>
        <v>0</v>
      </c>
      <c r="N120" s="335"/>
      <c r="O120" s="162">
        <f t="shared" si="22"/>
        <v>0</v>
      </c>
      <c r="P120" s="162">
        <f t="shared" si="23"/>
        <v>0</v>
      </c>
    </row>
    <row r="121" spans="2:16">
      <c r="B121" s="9" t="str">
        <f t="shared" si="26"/>
        <v/>
      </c>
      <c r="C121" s="157">
        <f>IF(D93="","-",+C120+1)</f>
        <v>2030</v>
      </c>
      <c r="D121" s="158">
        <f>IF(F120+SUM(E$99:E120)=D$92,F120,D$92-SUM(E$99:E120))</f>
        <v>807771</v>
      </c>
      <c r="E121" s="165">
        <f>IF(+J96&lt;F120,J96,D121)</f>
        <v>35361</v>
      </c>
      <c r="F121" s="163">
        <f t="shared" si="30"/>
        <v>772410</v>
      </c>
      <c r="G121" s="163">
        <f t="shared" si="31"/>
        <v>790090.5</v>
      </c>
      <c r="H121" s="167">
        <f t="shared" si="32"/>
        <v>116531.39536206303</v>
      </c>
      <c r="I121" s="317">
        <f t="shared" si="33"/>
        <v>116531.39536206303</v>
      </c>
      <c r="J121" s="162">
        <f t="shared" si="20"/>
        <v>0</v>
      </c>
      <c r="K121" s="162"/>
      <c r="L121" s="335"/>
      <c r="M121" s="162">
        <f t="shared" si="21"/>
        <v>0</v>
      </c>
      <c r="N121" s="335"/>
      <c r="O121" s="162">
        <f t="shared" si="22"/>
        <v>0</v>
      </c>
      <c r="P121" s="162">
        <f t="shared" si="23"/>
        <v>0</v>
      </c>
    </row>
    <row r="122" spans="2:16">
      <c r="B122" s="9" t="str">
        <f t="shared" si="26"/>
        <v/>
      </c>
      <c r="C122" s="157">
        <f>IF(D93="","-",+C121+1)</f>
        <v>2031</v>
      </c>
      <c r="D122" s="158">
        <f>IF(F121+SUM(E$99:E121)=D$92,F121,D$92-SUM(E$99:E121))</f>
        <v>772410</v>
      </c>
      <c r="E122" s="165">
        <f>IF(+J96&lt;F121,J96,D122)</f>
        <v>35361</v>
      </c>
      <c r="F122" s="163">
        <f t="shared" si="30"/>
        <v>737049</v>
      </c>
      <c r="G122" s="163">
        <f t="shared" si="31"/>
        <v>754729.5</v>
      </c>
      <c r="H122" s="167">
        <f t="shared" si="32"/>
        <v>112898.56298349639</v>
      </c>
      <c r="I122" s="317">
        <f t="shared" si="33"/>
        <v>112898.56298349639</v>
      </c>
      <c r="J122" s="162">
        <f t="shared" si="20"/>
        <v>0</v>
      </c>
      <c r="K122" s="162"/>
      <c r="L122" s="335"/>
      <c r="M122" s="162">
        <f t="shared" si="21"/>
        <v>0</v>
      </c>
      <c r="N122" s="335"/>
      <c r="O122" s="162">
        <f t="shared" si="22"/>
        <v>0</v>
      </c>
      <c r="P122" s="162">
        <f t="shared" si="23"/>
        <v>0</v>
      </c>
    </row>
    <row r="123" spans="2:16">
      <c r="B123" s="9" t="str">
        <f t="shared" si="26"/>
        <v/>
      </c>
      <c r="C123" s="157">
        <f>IF(D93="","-",+C122+1)</f>
        <v>2032</v>
      </c>
      <c r="D123" s="158">
        <f>IF(F122+SUM(E$99:E122)=D$92,F122,D$92-SUM(E$99:E122))</f>
        <v>737049</v>
      </c>
      <c r="E123" s="165">
        <f>IF(+J96&lt;F122,J96,D123)</f>
        <v>35361</v>
      </c>
      <c r="F123" s="163">
        <f t="shared" si="30"/>
        <v>701688</v>
      </c>
      <c r="G123" s="163">
        <f t="shared" si="31"/>
        <v>719368.5</v>
      </c>
      <c r="H123" s="167">
        <f t="shared" si="32"/>
        <v>109265.73060492975</v>
      </c>
      <c r="I123" s="317">
        <f t="shared" si="33"/>
        <v>109265.73060492975</v>
      </c>
      <c r="J123" s="162">
        <f t="shared" si="20"/>
        <v>0</v>
      </c>
      <c r="K123" s="162"/>
      <c r="L123" s="335"/>
      <c r="M123" s="162">
        <f t="shared" si="21"/>
        <v>0</v>
      </c>
      <c r="N123" s="335"/>
      <c r="O123" s="162">
        <f t="shared" si="22"/>
        <v>0</v>
      </c>
      <c r="P123" s="162">
        <f t="shared" si="23"/>
        <v>0</v>
      </c>
    </row>
    <row r="124" spans="2:16">
      <c r="B124" s="9" t="str">
        <f t="shared" si="26"/>
        <v/>
      </c>
      <c r="C124" s="157">
        <f>IF(D93="","-",+C123+1)</f>
        <v>2033</v>
      </c>
      <c r="D124" s="158">
        <f>IF(F123+SUM(E$99:E123)=D$92,F123,D$92-SUM(E$99:E123))</f>
        <v>701688</v>
      </c>
      <c r="E124" s="165">
        <f>IF(+J96&lt;F123,J96,D124)</f>
        <v>35361</v>
      </c>
      <c r="F124" s="163">
        <f t="shared" si="30"/>
        <v>666327</v>
      </c>
      <c r="G124" s="163">
        <f t="shared" si="31"/>
        <v>684007.5</v>
      </c>
      <c r="H124" s="167">
        <f t="shared" si="32"/>
        <v>105632.8982263631</v>
      </c>
      <c r="I124" s="317">
        <f t="shared" si="33"/>
        <v>105632.8982263631</v>
      </c>
      <c r="J124" s="162">
        <f t="shared" si="20"/>
        <v>0</v>
      </c>
      <c r="K124" s="162"/>
      <c r="L124" s="335"/>
      <c r="M124" s="162">
        <f t="shared" si="21"/>
        <v>0</v>
      </c>
      <c r="N124" s="335"/>
      <c r="O124" s="162">
        <f t="shared" si="22"/>
        <v>0</v>
      </c>
      <c r="P124" s="162">
        <f t="shared" si="23"/>
        <v>0</v>
      </c>
    </row>
    <row r="125" spans="2:16">
      <c r="B125" s="9" t="str">
        <f t="shared" si="26"/>
        <v/>
      </c>
      <c r="C125" s="157">
        <f>IF(D93="","-",+C124+1)</f>
        <v>2034</v>
      </c>
      <c r="D125" s="158">
        <f>IF(F124+SUM(E$99:E124)=D$92,F124,D$92-SUM(E$99:E124))</f>
        <v>666327</v>
      </c>
      <c r="E125" s="165">
        <f>IF(+J96&lt;F124,J96,D125)</f>
        <v>35361</v>
      </c>
      <c r="F125" s="163">
        <f t="shared" si="30"/>
        <v>630966</v>
      </c>
      <c r="G125" s="163">
        <f t="shared" si="31"/>
        <v>648646.5</v>
      </c>
      <c r="H125" s="167">
        <f t="shared" si="32"/>
        <v>102000.06584779645</v>
      </c>
      <c r="I125" s="317">
        <f t="shared" si="33"/>
        <v>102000.06584779645</v>
      </c>
      <c r="J125" s="162">
        <f t="shared" si="20"/>
        <v>0</v>
      </c>
      <c r="K125" s="162"/>
      <c r="L125" s="335"/>
      <c r="M125" s="162">
        <f t="shared" si="21"/>
        <v>0</v>
      </c>
      <c r="N125" s="335"/>
      <c r="O125" s="162">
        <f t="shared" si="22"/>
        <v>0</v>
      </c>
      <c r="P125" s="162">
        <f t="shared" si="23"/>
        <v>0</v>
      </c>
    </row>
    <row r="126" spans="2:16">
      <c r="B126" s="9" t="str">
        <f t="shared" si="26"/>
        <v/>
      </c>
      <c r="C126" s="157">
        <f>IF(D93="","-",+C125+1)</f>
        <v>2035</v>
      </c>
      <c r="D126" s="158">
        <f>IF(F125+SUM(E$99:E125)=D$92,F125,D$92-SUM(E$99:E125))</f>
        <v>630966</v>
      </c>
      <c r="E126" s="165">
        <f>IF(+J96&lt;F125,J96,D126)</f>
        <v>35361</v>
      </c>
      <c r="F126" s="163">
        <f t="shared" si="30"/>
        <v>595605</v>
      </c>
      <c r="G126" s="163">
        <f t="shared" si="31"/>
        <v>613285.5</v>
      </c>
      <c r="H126" s="167">
        <f t="shared" si="32"/>
        <v>98367.233469229803</v>
      </c>
      <c r="I126" s="317">
        <f t="shared" si="33"/>
        <v>98367.233469229803</v>
      </c>
      <c r="J126" s="162">
        <f t="shared" si="20"/>
        <v>0</v>
      </c>
      <c r="K126" s="162"/>
      <c r="L126" s="335"/>
      <c r="M126" s="162">
        <f t="shared" si="21"/>
        <v>0</v>
      </c>
      <c r="N126" s="335"/>
      <c r="O126" s="162">
        <f t="shared" si="22"/>
        <v>0</v>
      </c>
      <c r="P126" s="162">
        <f t="shared" si="23"/>
        <v>0</v>
      </c>
    </row>
    <row r="127" spans="2:16">
      <c r="B127" s="9" t="str">
        <f t="shared" si="26"/>
        <v/>
      </c>
      <c r="C127" s="157">
        <f>IF(D93="","-",+C126+1)</f>
        <v>2036</v>
      </c>
      <c r="D127" s="158">
        <f>IF(F126+SUM(E$99:E126)=D$92,F126,D$92-SUM(E$99:E126))</f>
        <v>595605</v>
      </c>
      <c r="E127" s="165">
        <f>IF(+J96&lt;F126,J96,D127)</f>
        <v>35361</v>
      </c>
      <c r="F127" s="163">
        <f t="shared" si="30"/>
        <v>560244</v>
      </c>
      <c r="G127" s="163">
        <f t="shared" si="31"/>
        <v>577924.5</v>
      </c>
      <c r="H127" s="167">
        <f t="shared" si="32"/>
        <v>94734.401090663159</v>
      </c>
      <c r="I127" s="317">
        <f t="shared" si="33"/>
        <v>94734.401090663159</v>
      </c>
      <c r="J127" s="162">
        <f t="shared" si="20"/>
        <v>0</v>
      </c>
      <c r="K127" s="162"/>
      <c r="L127" s="335"/>
      <c r="M127" s="162">
        <f t="shared" si="21"/>
        <v>0</v>
      </c>
      <c r="N127" s="335"/>
      <c r="O127" s="162">
        <f t="shared" si="22"/>
        <v>0</v>
      </c>
      <c r="P127" s="162">
        <f t="shared" si="23"/>
        <v>0</v>
      </c>
    </row>
    <row r="128" spans="2:16">
      <c r="B128" s="9" t="str">
        <f t="shared" si="26"/>
        <v/>
      </c>
      <c r="C128" s="157">
        <f>IF(D93="","-",+C127+1)</f>
        <v>2037</v>
      </c>
      <c r="D128" s="158">
        <f>IF(F127+SUM(E$99:E127)=D$92,F127,D$92-SUM(E$99:E127))</f>
        <v>560244</v>
      </c>
      <c r="E128" s="165">
        <f>IF(+J96&lt;F127,J96,D128)</f>
        <v>35361</v>
      </c>
      <c r="F128" s="163">
        <f t="shared" si="30"/>
        <v>524883</v>
      </c>
      <c r="G128" s="163">
        <f t="shared" si="31"/>
        <v>542563.5</v>
      </c>
      <c r="H128" s="167">
        <f t="shared" si="32"/>
        <v>91101.568712096516</v>
      </c>
      <c r="I128" s="317">
        <f t="shared" si="33"/>
        <v>91101.568712096516</v>
      </c>
      <c r="J128" s="162">
        <f t="shared" si="20"/>
        <v>0</v>
      </c>
      <c r="K128" s="162"/>
      <c r="L128" s="335"/>
      <c r="M128" s="162">
        <f t="shared" si="21"/>
        <v>0</v>
      </c>
      <c r="N128" s="335"/>
      <c r="O128" s="162">
        <f t="shared" si="22"/>
        <v>0</v>
      </c>
      <c r="P128" s="162">
        <f t="shared" si="23"/>
        <v>0</v>
      </c>
    </row>
    <row r="129" spans="2:16">
      <c r="B129" s="9" t="str">
        <f t="shared" si="26"/>
        <v/>
      </c>
      <c r="C129" s="157">
        <f>IF(D93="","-",+C128+1)</f>
        <v>2038</v>
      </c>
      <c r="D129" s="158">
        <f>IF(F128+SUM(E$99:E128)=D$92,F128,D$92-SUM(E$99:E128))</f>
        <v>524883</v>
      </c>
      <c r="E129" s="165">
        <f>IF(+J96&lt;F128,J96,D129)</f>
        <v>35361</v>
      </c>
      <c r="F129" s="163">
        <f t="shared" si="30"/>
        <v>489522</v>
      </c>
      <c r="G129" s="163">
        <f t="shared" si="31"/>
        <v>507202.5</v>
      </c>
      <c r="H129" s="167">
        <f t="shared" si="32"/>
        <v>87468.736333529872</v>
      </c>
      <c r="I129" s="317">
        <f t="shared" si="33"/>
        <v>87468.736333529872</v>
      </c>
      <c r="J129" s="162">
        <f t="shared" si="20"/>
        <v>0</v>
      </c>
      <c r="K129" s="162"/>
      <c r="L129" s="335"/>
      <c r="M129" s="162">
        <f t="shared" si="21"/>
        <v>0</v>
      </c>
      <c r="N129" s="335"/>
      <c r="O129" s="162">
        <f t="shared" si="22"/>
        <v>0</v>
      </c>
      <c r="P129" s="162">
        <f t="shared" si="23"/>
        <v>0</v>
      </c>
    </row>
    <row r="130" spans="2:16">
      <c r="B130" s="9" t="str">
        <f t="shared" si="26"/>
        <v/>
      </c>
      <c r="C130" s="157">
        <f>IF(D93="","-",+C129+1)</f>
        <v>2039</v>
      </c>
      <c r="D130" s="158">
        <f>IF(F129+SUM(E$99:E129)=D$92,F129,D$92-SUM(E$99:E129))</f>
        <v>489522</v>
      </c>
      <c r="E130" s="165">
        <f>IF(+J96&lt;F129,J96,D130)</f>
        <v>35361</v>
      </c>
      <c r="F130" s="163">
        <f t="shared" si="30"/>
        <v>454161</v>
      </c>
      <c r="G130" s="163">
        <f t="shared" si="31"/>
        <v>471841.5</v>
      </c>
      <c r="H130" s="167">
        <f t="shared" si="32"/>
        <v>83835.903954963229</v>
      </c>
      <c r="I130" s="317">
        <f t="shared" si="33"/>
        <v>83835.903954963229</v>
      </c>
      <c r="J130" s="162">
        <f t="shared" si="20"/>
        <v>0</v>
      </c>
      <c r="K130" s="162"/>
      <c r="L130" s="335"/>
      <c r="M130" s="162">
        <f t="shared" si="21"/>
        <v>0</v>
      </c>
      <c r="N130" s="335"/>
      <c r="O130" s="162">
        <f t="shared" si="22"/>
        <v>0</v>
      </c>
      <c r="P130" s="162">
        <f t="shared" si="23"/>
        <v>0</v>
      </c>
    </row>
    <row r="131" spans="2:16">
      <c r="B131" s="9" t="str">
        <f t="shared" si="26"/>
        <v/>
      </c>
      <c r="C131" s="157">
        <f>IF(D93="","-",+C130+1)</f>
        <v>2040</v>
      </c>
      <c r="D131" s="158">
        <f>IF(F130+SUM(E$99:E130)=D$92,F130,D$92-SUM(E$99:E130))</f>
        <v>454161</v>
      </c>
      <c r="E131" s="165">
        <f>IF(+J96&lt;F130,J96,D131)</f>
        <v>35361</v>
      </c>
      <c r="F131" s="163">
        <f t="shared" ref="F131:F154" si="34">+D131-E131</f>
        <v>418800</v>
      </c>
      <c r="G131" s="163">
        <f t="shared" ref="G131:G154" si="35">+(F131+D131)/2</f>
        <v>436480.5</v>
      </c>
      <c r="H131" s="167">
        <f t="shared" si="32"/>
        <v>80203.071576396571</v>
      </c>
      <c r="I131" s="317">
        <f t="shared" si="33"/>
        <v>80203.071576396571</v>
      </c>
      <c r="J131" s="162">
        <f t="shared" ref="J131:J154" si="36">+I131-H131</f>
        <v>0</v>
      </c>
      <c r="K131" s="162"/>
      <c r="L131" s="335"/>
      <c r="M131" s="162">
        <f t="shared" ref="M131:M154" si="37">IF(L131&lt;&gt;0,+H131-L131,0)</f>
        <v>0</v>
      </c>
      <c r="N131" s="335"/>
      <c r="O131" s="162">
        <f t="shared" ref="O131:O154" si="38">IF(N131&lt;&gt;0,+I131-N131,0)</f>
        <v>0</v>
      </c>
      <c r="P131" s="162">
        <f t="shared" ref="P131:P154" si="39">+O131-M131</f>
        <v>0</v>
      </c>
    </row>
    <row r="132" spans="2:16">
      <c r="B132" s="9" t="str">
        <f t="shared" si="26"/>
        <v/>
      </c>
      <c r="C132" s="157">
        <f>IF(D93="","-",+C131+1)</f>
        <v>2041</v>
      </c>
      <c r="D132" s="158">
        <f>IF(F131+SUM(E$99:E131)=D$92,F131,D$92-SUM(E$99:E131))</f>
        <v>418800</v>
      </c>
      <c r="E132" s="165">
        <f>IF(+J96&lt;F131,J96,D132)</f>
        <v>35361</v>
      </c>
      <c r="F132" s="163">
        <f t="shared" si="34"/>
        <v>383439</v>
      </c>
      <c r="G132" s="163">
        <f t="shared" si="35"/>
        <v>401119.5</v>
      </c>
      <c r="H132" s="167">
        <f t="shared" si="32"/>
        <v>76570.239197829927</v>
      </c>
      <c r="I132" s="317">
        <f t="shared" si="33"/>
        <v>76570.239197829927</v>
      </c>
      <c r="J132" s="162">
        <f t="shared" si="36"/>
        <v>0</v>
      </c>
      <c r="K132" s="162"/>
      <c r="L132" s="335"/>
      <c r="M132" s="162">
        <f t="shared" si="37"/>
        <v>0</v>
      </c>
      <c r="N132" s="335"/>
      <c r="O132" s="162">
        <f t="shared" si="38"/>
        <v>0</v>
      </c>
      <c r="P132" s="162">
        <f t="shared" si="39"/>
        <v>0</v>
      </c>
    </row>
    <row r="133" spans="2:16">
      <c r="B133" s="9" t="str">
        <f t="shared" si="26"/>
        <v/>
      </c>
      <c r="C133" s="157">
        <f>IF(D93="","-",+C132+1)</f>
        <v>2042</v>
      </c>
      <c r="D133" s="158">
        <f>IF(F132+SUM(E$99:E132)=D$92,F132,D$92-SUM(E$99:E132))</f>
        <v>383439</v>
      </c>
      <c r="E133" s="165">
        <f>IF(+J96&lt;F132,J96,D133)</f>
        <v>35361</v>
      </c>
      <c r="F133" s="163">
        <f t="shared" si="34"/>
        <v>348078</v>
      </c>
      <c r="G133" s="163">
        <f t="shared" si="35"/>
        <v>365758.5</v>
      </c>
      <c r="H133" s="167">
        <f t="shared" si="32"/>
        <v>72937.406819263269</v>
      </c>
      <c r="I133" s="317">
        <f t="shared" si="33"/>
        <v>72937.406819263269</v>
      </c>
      <c r="J133" s="162">
        <f t="shared" si="36"/>
        <v>0</v>
      </c>
      <c r="K133" s="162"/>
      <c r="L133" s="335"/>
      <c r="M133" s="162">
        <f t="shared" si="37"/>
        <v>0</v>
      </c>
      <c r="N133" s="335"/>
      <c r="O133" s="162">
        <f t="shared" si="38"/>
        <v>0</v>
      </c>
      <c r="P133" s="162">
        <f t="shared" si="39"/>
        <v>0</v>
      </c>
    </row>
    <row r="134" spans="2:16">
      <c r="B134" s="9" t="str">
        <f t="shared" si="26"/>
        <v/>
      </c>
      <c r="C134" s="157">
        <f>IF(D93="","-",+C133+1)</f>
        <v>2043</v>
      </c>
      <c r="D134" s="158">
        <f>IF(F133+SUM(E$99:E133)=D$92,F133,D$92-SUM(E$99:E133))</f>
        <v>348078</v>
      </c>
      <c r="E134" s="165">
        <f>IF(+J96&lt;F133,J96,D134)</f>
        <v>35361</v>
      </c>
      <c r="F134" s="163">
        <f t="shared" si="34"/>
        <v>312717</v>
      </c>
      <c r="G134" s="163">
        <f t="shared" si="35"/>
        <v>330397.5</v>
      </c>
      <c r="H134" s="167">
        <f t="shared" si="32"/>
        <v>69304.574440696626</v>
      </c>
      <c r="I134" s="317">
        <f t="shared" si="33"/>
        <v>69304.574440696626</v>
      </c>
      <c r="J134" s="162">
        <f t="shared" si="36"/>
        <v>0</v>
      </c>
      <c r="K134" s="162"/>
      <c r="L134" s="335"/>
      <c r="M134" s="162">
        <f t="shared" si="37"/>
        <v>0</v>
      </c>
      <c r="N134" s="335"/>
      <c r="O134" s="162">
        <f t="shared" si="38"/>
        <v>0</v>
      </c>
      <c r="P134" s="162">
        <f t="shared" si="39"/>
        <v>0</v>
      </c>
    </row>
    <row r="135" spans="2:16">
      <c r="B135" s="9" t="str">
        <f t="shared" si="26"/>
        <v/>
      </c>
      <c r="C135" s="157">
        <f>IF(D93="","-",+C134+1)</f>
        <v>2044</v>
      </c>
      <c r="D135" s="158">
        <f>IF(F134+SUM(E$99:E134)=D$92,F134,D$92-SUM(E$99:E134))</f>
        <v>312717</v>
      </c>
      <c r="E135" s="165">
        <f>IF(+J96&lt;F134,J96,D135)</f>
        <v>35361</v>
      </c>
      <c r="F135" s="163">
        <f t="shared" si="34"/>
        <v>277356</v>
      </c>
      <c r="G135" s="163">
        <f t="shared" si="35"/>
        <v>295036.5</v>
      </c>
      <c r="H135" s="167">
        <f t="shared" si="32"/>
        <v>65671.742062129983</v>
      </c>
      <c r="I135" s="317">
        <f t="shared" si="33"/>
        <v>65671.742062129983</v>
      </c>
      <c r="J135" s="162">
        <f t="shared" si="36"/>
        <v>0</v>
      </c>
      <c r="K135" s="162"/>
      <c r="L135" s="335"/>
      <c r="M135" s="162">
        <f t="shared" si="37"/>
        <v>0</v>
      </c>
      <c r="N135" s="335"/>
      <c r="O135" s="162">
        <f t="shared" si="38"/>
        <v>0</v>
      </c>
      <c r="P135" s="162">
        <f t="shared" si="39"/>
        <v>0</v>
      </c>
    </row>
    <row r="136" spans="2:16">
      <c r="B136" s="9" t="str">
        <f t="shared" si="26"/>
        <v/>
      </c>
      <c r="C136" s="157">
        <f>IF(D93="","-",+C135+1)</f>
        <v>2045</v>
      </c>
      <c r="D136" s="158">
        <f>IF(F135+SUM(E$99:E135)=D$92,F135,D$92-SUM(E$99:E135))</f>
        <v>277356</v>
      </c>
      <c r="E136" s="165">
        <f>IF(+J96&lt;F135,J96,D136)</f>
        <v>35361</v>
      </c>
      <c r="F136" s="163">
        <f t="shared" si="34"/>
        <v>241995</v>
      </c>
      <c r="G136" s="163">
        <f t="shared" si="35"/>
        <v>259675.5</v>
      </c>
      <c r="H136" s="167">
        <f t="shared" si="32"/>
        <v>62038.909683563339</v>
      </c>
      <c r="I136" s="317">
        <f t="shared" si="33"/>
        <v>62038.909683563339</v>
      </c>
      <c r="J136" s="162">
        <f t="shared" si="36"/>
        <v>0</v>
      </c>
      <c r="K136" s="162"/>
      <c r="L136" s="335"/>
      <c r="M136" s="162">
        <f t="shared" si="37"/>
        <v>0</v>
      </c>
      <c r="N136" s="335"/>
      <c r="O136" s="162">
        <f t="shared" si="38"/>
        <v>0</v>
      </c>
      <c r="P136" s="162">
        <f t="shared" si="39"/>
        <v>0</v>
      </c>
    </row>
    <row r="137" spans="2:16">
      <c r="B137" s="9" t="str">
        <f t="shared" si="26"/>
        <v/>
      </c>
      <c r="C137" s="157">
        <f>IF(D93="","-",+C136+1)</f>
        <v>2046</v>
      </c>
      <c r="D137" s="158">
        <f>IF(F136+SUM(E$99:E136)=D$92,F136,D$92-SUM(E$99:E136))</f>
        <v>241995</v>
      </c>
      <c r="E137" s="165">
        <f>IF(+J96&lt;F136,J96,D137)</f>
        <v>35361</v>
      </c>
      <c r="F137" s="163">
        <f t="shared" si="34"/>
        <v>206634</v>
      </c>
      <c r="G137" s="163">
        <f t="shared" si="35"/>
        <v>224314.5</v>
      </c>
      <c r="H137" s="167">
        <f t="shared" si="32"/>
        <v>58406.077304996696</v>
      </c>
      <c r="I137" s="317">
        <f t="shared" si="33"/>
        <v>58406.077304996696</v>
      </c>
      <c r="J137" s="162">
        <f t="shared" si="36"/>
        <v>0</v>
      </c>
      <c r="K137" s="162"/>
      <c r="L137" s="335"/>
      <c r="M137" s="162">
        <f t="shared" si="37"/>
        <v>0</v>
      </c>
      <c r="N137" s="335"/>
      <c r="O137" s="162">
        <f t="shared" si="38"/>
        <v>0</v>
      </c>
      <c r="P137" s="162">
        <f t="shared" si="39"/>
        <v>0</v>
      </c>
    </row>
    <row r="138" spans="2:16">
      <c r="B138" s="9" t="str">
        <f t="shared" si="26"/>
        <v/>
      </c>
      <c r="C138" s="157">
        <f>IF(D93="","-",+C137+1)</f>
        <v>2047</v>
      </c>
      <c r="D138" s="158">
        <f>IF(F137+SUM(E$99:E137)=D$92,F137,D$92-SUM(E$99:E137))</f>
        <v>206634</v>
      </c>
      <c r="E138" s="165">
        <f>IF(+J96&lt;F137,J96,D138)</f>
        <v>35361</v>
      </c>
      <c r="F138" s="163">
        <f t="shared" si="34"/>
        <v>171273</v>
      </c>
      <c r="G138" s="163">
        <f t="shared" si="35"/>
        <v>188953.5</v>
      </c>
      <c r="H138" s="167">
        <f t="shared" si="32"/>
        <v>54773.244926430045</v>
      </c>
      <c r="I138" s="317">
        <f t="shared" si="33"/>
        <v>54773.244926430045</v>
      </c>
      <c r="J138" s="162">
        <f t="shared" si="36"/>
        <v>0</v>
      </c>
      <c r="K138" s="162"/>
      <c r="L138" s="335"/>
      <c r="M138" s="162">
        <f t="shared" si="37"/>
        <v>0</v>
      </c>
      <c r="N138" s="335"/>
      <c r="O138" s="162">
        <f t="shared" si="38"/>
        <v>0</v>
      </c>
      <c r="P138" s="162">
        <f t="shared" si="39"/>
        <v>0</v>
      </c>
    </row>
    <row r="139" spans="2:16">
      <c r="B139" s="9" t="str">
        <f t="shared" si="26"/>
        <v/>
      </c>
      <c r="C139" s="157">
        <f>IF(D93="","-",+C138+1)</f>
        <v>2048</v>
      </c>
      <c r="D139" s="158">
        <f>IF(F138+SUM(E$99:E138)=D$92,F138,D$92-SUM(E$99:E138))</f>
        <v>171273</v>
      </c>
      <c r="E139" s="165">
        <f>IF(+J96&lt;F138,J96,D139)</f>
        <v>35361</v>
      </c>
      <c r="F139" s="163">
        <f t="shared" si="34"/>
        <v>135912</v>
      </c>
      <c r="G139" s="163">
        <f t="shared" si="35"/>
        <v>153592.5</v>
      </c>
      <c r="H139" s="167">
        <f t="shared" si="32"/>
        <v>51140.412547863401</v>
      </c>
      <c r="I139" s="317">
        <f t="shared" si="33"/>
        <v>51140.412547863401</v>
      </c>
      <c r="J139" s="162">
        <f t="shared" si="36"/>
        <v>0</v>
      </c>
      <c r="K139" s="162"/>
      <c r="L139" s="335"/>
      <c r="M139" s="162">
        <f t="shared" si="37"/>
        <v>0</v>
      </c>
      <c r="N139" s="335"/>
      <c r="O139" s="162">
        <f t="shared" si="38"/>
        <v>0</v>
      </c>
      <c r="P139" s="162">
        <f t="shared" si="39"/>
        <v>0</v>
      </c>
    </row>
    <row r="140" spans="2:16">
      <c r="B140" s="9" t="str">
        <f t="shared" si="26"/>
        <v/>
      </c>
      <c r="C140" s="157">
        <f>IF(D93="","-",+C139+1)</f>
        <v>2049</v>
      </c>
      <c r="D140" s="158">
        <f>IF(F139+SUM(E$99:E139)=D$92,F139,D$92-SUM(E$99:E139))</f>
        <v>135912</v>
      </c>
      <c r="E140" s="165">
        <f>IF(+J96&lt;F139,J96,D140)</f>
        <v>35361</v>
      </c>
      <c r="F140" s="163">
        <f t="shared" si="34"/>
        <v>100551</v>
      </c>
      <c r="G140" s="163">
        <f t="shared" si="35"/>
        <v>118231.5</v>
      </c>
      <c r="H140" s="167">
        <f t="shared" si="32"/>
        <v>47507.580169296751</v>
      </c>
      <c r="I140" s="317">
        <f t="shared" si="33"/>
        <v>47507.580169296751</v>
      </c>
      <c r="J140" s="162">
        <f t="shared" si="36"/>
        <v>0</v>
      </c>
      <c r="K140" s="162"/>
      <c r="L140" s="335"/>
      <c r="M140" s="162">
        <f t="shared" si="37"/>
        <v>0</v>
      </c>
      <c r="N140" s="335"/>
      <c r="O140" s="162">
        <f t="shared" si="38"/>
        <v>0</v>
      </c>
      <c r="P140" s="162">
        <f t="shared" si="39"/>
        <v>0</v>
      </c>
    </row>
    <row r="141" spans="2:16">
      <c r="B141" s="9" t="str">
        <f t="shared" si="26"/>
        <v/>
      </c>
      <c r="C141" s="157">
        <f>IF(D93="","-",+C140+1)</f>
        <v>2050</v>
      </c>
      <c r="D141" s="158">
        <f>IF(F140+SUM(E$99:E140)=D$92,F140,D$92-SUM(E$99:E140))</f>
        <v>100551</v>
      </c>
      <c r="E141" s="165">
        <f>IF(+J96&lt;F140,J96,D141)</f>
        <v>35361</v>
      </c>
      <c r="F141" s="163">
        <f t="shared" si="34"/>
        <v>65190</v>
      </c>
      <c r="G141" s="163">
        <f t="shared" si="35"/>
        <v>82870.5</v>
      </c>
      <c r="H141" s="167">
        <f t="shared" si="32"/>
        <v>43874.747790730107</v>
      </c>
      <c r="I141" s="317">
        <f t="shared" si="33"/>
        <v>43874.747790730107</v>
      </c>
      <c r="J141" s="162">
        <f t="shared" si="36"/>
        <v>0</v>
      </c>
      <c r="K141" s="162"/>
      <c r="L141" s="335"/>
      <c r="M141" s="162">
        <f t="shared" si="37"/>
        <v>0</v>
      </c>
      <c r="N141" s="335"/>
      <c r="O141" s="162">
        <f t="shared" si="38"/>
        <v>0</v>
      </c>
      <c r="P141" s="162">
        <f t="shared" si="39"/>
        <v>0</v>
      </c>
    </row>
    <row r="142" spans="2:16">
      <c r="B142" s="9" t="str">
        <f t="shared" si="26"/>
        <v/>
      </c>
      <c r="C142" s="157">
        <f>IF(D93="","-",+C141+1)</f>
        <v>2051</v>
      </c>
      <c r="D142" s="158">
        <f>IF(F141+SUM(E$99:E141)=D$92,F141,D$92-SUM(E$99:E141))</f>
        <v>65190</v>
      </c>
      <c r="E142" s="165">
        <f>IF(+J96&lt;F141,J96,D142)</f>
        <v>35361</v>
      </c>
      <c r="F142" s="163">
        <f t="shared" si="34"/>
        <v>29829</v>
      </c>
      <c r="G142" s="163">
        <f t="shared" si="35"/>
        <v>47509.5</v>
      </c>
      <c r="H142" s="167">
        <f t="shared" si="32"/>
        <v>40241.915412163464</v>
      </c>
      <c r="I142" s="317">
        <f t="shared" si="33"/>
        <v>40241.915412163464</v>
      </c>
      <c r="J142" s="162">
        <f t="shared" si="36"/>
        <v>0</v>
      </c>
      <c r="K142" s="162"/>
      <c r="L142" s="335"/>
      <c r="M142" s="162">
        <f t="shared" si="37"/>
        <v>0</v>
      </c>
      <c r="N142" s="335"/>
      <c r="O142" s="162">
        <f t="shared" si="38"/>
        <v>0</v>
      </c>
      <c r="P142" s="162">
        <f t="shared" si="39"/>
        <v>0</v>
      </c>
    </row>
    <row r="143" spans="2:16">
      <c r="B143" s="9" t="str">
        <f t="shared" si="26"/>
        <v/>
      </c>
      <c r="C143" s="157">
        <f>IF(D93="","-",+C142+1)</f>
        <v>2052</v>
      </c>
      <c r="D143" s="158">
        <f>IF(F142+SUM(E$99:E142)=D$92,F142,D$92-SUM(E$99:E142))</f>
        <v>29829</v>
      </c>
      <c r="E143" s="165">
        <f>IF(+J96&lt;F142,J96,D143)</f>
        <v>29829</v>
      </c>
      <c r="F143" s="163">
        <f t="shared" si="34"/>
        <v>0</v>
      </c>
      <c r="G143" s="163">
        <f t="shared" si="35"/>
        <v>14914.5</v>
      </c>
      <c r="H143" s="167">
        <f t="shared" si="32"/>
        <v>31361.249611440067</v>
      </c>
      <c r="I143" s="317">
        <f t="shared" si="33"/>
        <v>31361.249611440067</v>
      </c>
      <c r="J143" s="162">
        <f t="shared" si="36"/>
        <v>0</v>
      </c>
      <c r="K143" s="162"/>
      <c r="L143" s="335"/>
      <c r="M143" s="162">
        <f t="shared" si="37"/>
        <v>0</v>
      </c>
      <c r="N143" s="335"/>
      <c r="O143" s="162">
        <f t="shared" si="38"/>
        <v>0</v>
      </c>
      <c r="P143" s="162">
        <f t="shared" si="39"/>
        <v>0</v>
      </c>
    </row>
    <row r="144" spans="2:16">
      <c r="B144" s="9" t="str">
        <f t="shared" si="26"/>
        <v/>
      </c>
      <c r="C144" s="157">
        <f>IF(D93="","-",+C143+1)</f>
        <v>2053</v>
      </c>
      <c r="D144" s="158">
        <f>IF(F143+SUM(E$99:E143)=D$92,F143,D$92-SUM(E$99:E143))</f>
        <v>0</v>
      </c>
      <c r="E144" s="165">
        <f>IF(+J96&lt;F143,J96,D144)</f>
        <v>0</v>
      </c>
      <c r="F144" s="163">
        <f t="shared" si="34"/>
        <v>0</v>
      </c>
      <c r="G144" s="163">
        <f t="shared" si="35"/>
        <v>0</v>
      </c>
      <c r="H144" s="167">
        <f t="shared" si="32"/>
        <v>0</v>
      </c>
      <c r="I144" s="317">
        <f t="shared" si="33"/>
        <v>0</v>
      </c>
      <c r="J144" s="162">
        <f t="shared" si="36"/>
        <v>0</v>
      </c>
      <c r="K144" s="162"/>
      <c r="L144" s="335"/>
      <c r="M144" s="162">
        <f t="shared" si="37"/>
        <v>0</v>
      </c>
      <c r="N144" s="335"/>
      <c r="O144" s="162">
        <f t="shared" si="38"/>
        <v>0</v>
      </c>
      <c r="P144" s="162">
        <f t="shared" si="39"/>
        <v>0</v>
      </c>
    </row>
    <row r="145" spans="2:16">
      <c r="B145" s="9" t="str">
        <f t="shared" si="26"/>
        <v/>
      </c>
      <c r="C145" s="157">
        <f>IF(D93="","-",+C144+1)</f>
        <v>2054</v>
      </c>
      <c r="D145" s="158">
        <f>IF(F144+SUM(E$99:E144)=D$92,F144,D$92-SUM(E$99:E144))</f>
        <v>0</v>
      </c>
      <c r="E145" s="165">
        <f>IF(+J96&lt;F144,J96,D145)</f>
        <v>0</v>
      </c>
      <c r="F145" s="163">
        <f t="shared" si="34"/>
        <v>0</v>
      </c>
      <c r="G145" s="163">
        <f t="shared" si="35"/>
        <v>0</v>
      </c>
      <c r="H145" s="167">
        <f t="shared" si="32"/>
        <v>0</v>
      </c>
      <c r="I145" s="317">
        <f t="shared" si="33"/>
        <v>0</v>
      </c>
      <c r="J145" s="162">
        <f t="shared" si="36"/>
        <v>0</v>
      </c>
      <c r="K145" s="162"/>
      <c r="L145" s="335"/>
      <c r="M145" s="162">
        <f t="shared" si="37"/>
        <v>0</v>
      </c>
      <c r="N145" s="335"/>
      <c r="O145" s="162">
        <f t="shared" si="38"/>
        <v>0</v>
      </c>
      <c r="P145" s="162">
        <f t="shared" si="39"/>
        <v>0</v>
      </c>
    </row>
    <row r="146" spans="2:16">
      <c r="B146" s="9" t="str">
        <f t="shared" si="26"/>
        <v/>
      </c>
      <c r="C146" s="157">
        <f>IF(D93="","-",+C145+1)</f>
        <v>2055</v>
      </c>
      <c r="D146" s="158">
        <f>IF(F145+SUM(E$99:E145)=D$92,F145,D$92-SUM(E$99:E145))</f>
        <v>0</v>
      </c>
      <c r="E146" s="165">
        <f>IF(+J96&lt;F145,J96,D146)</f>
        <v>0</v>
      </c>
      <c r="F146" s="163">
        <f t="shared" si="34"/>
        <v>0</v>
      </c>
      <c r="G146" s="163">
        <f t="shared" si="35"/>
        <v>0</v>
      </c>
      <c r="H146" s="167">
        <f t="shared" si="32"/>
        <v>0</v>
      </c>
      <c r="I146" s="317">
        <f t="shared" si="33"/>
        <v>0</v>
      </c>
      <c r="J146" s="162">
        <f t="shared" si="36"/>
        <v>0</v>
      </c>
      <c r="K146" s="162"/>
      <c r="L146" s="335"/>
      <c r="M146" s="162">
        <f t="shared" si="37"/>
        <v>0</v>
      </c>
      <c r="N146" s="335"/>
      <c r="O146" s="162">
        <f t="shared" si="38"/>
        <v>0</v>
      </c>
      <c r="P146" s="162">
        <f t="shared" si="39"/>
        <v>0</v>
      </c>
    </row>
    <row r="147" spans="2:16">
      <c r="B147" s="9" t="str">
        <f t="shared" si="26"/>
        <v/>
      </c>
      <c r="C147" s="157">
        <f>IF(D93="","-",+C146+1)</f>
        <v>2056</v>
      </c>
      <c r="D147" s="158">
        <f>IF(F146+SUM(E$99:E146)=D$92,F146,D$92-SUM(E$99:E146))</f>
        <v>0</v>
      </c>
      <c r="E147" s="165">
        <f>IF(+J96&lt;F146,J96,D147)</f>
        <v>0</v>
      </c>
      <c r="F147" s="163">
        <f t="shared" si="34"/>
        <v>0</v>
      </c>
      <c r="G147" s="163">
        <f t="shared" si="35"/>
        <v>0</v>
      </c>
      <c r="H147" s="167">
        <f t="shared" si="32"/>
        <v>0</v>
      </c>
      <c r="I147" s="317">
        <f t="shared" si="33"/>
        <v>0</v>
      </c>
      <c r="J147" s="162">
        <f t="shared" si="36"/>
        <v>0</v>
      </c>
      <c r="K147" s="162"/>
      <c r="L147" s="335"/>
      <c r="M147" s="162">
        <f t="shared" si="37"/>
        <v>0</v>
      </c>
      <c r="N147" s="335"/>
      <c r="O147" s="162">
        <f t="shared" si="38"/>
        <v>0</v>
      </c>
      <c r="P147" s="162">
        <f t="shared" si="39"/>
        <v>0</v>
      </c>
    </row>
    <row r="148" spans="2:16">
      <c r="B148" s="9" t="str">
        <f t="shared" si="26"/>
        <v/>
      </c>
      <c r="C148" s="157">
        <f>IF(D93="","-",+C147+1)</f>
        <v>2057</v>
      </c>
      <c r="D148" s="158">
        <f>IF(F147+SUM(E$99:E147)=D$92,F147,D$92-SUM(E$99:E147))</f>
        <v>0</v>
      </c>
      <c r="E148" s="165">
        <f>IF(+J96&lt;F147,J96,D148)</f>
        <v>0</v>
      </c>
      <c r="F148" s="163">
        <f t="shared" si="34"/>
        <v>0</v>
      </c>
      <c r="G148" s="163">
        <f t="shared" si="35"/>
        <v>0</v>
      </c>
      <c r="H148" s="167">
        <f t="shared" si="32"/>
        <v>0</v>
      </c>
      <c r="I148" s="317">
        <f t="shared" si="33"/>
        <v>0</v>
      </c>
      <c r="J148" s="162">
        <f t="shared" si="36"/>
        <v>0</v>
      </c>
      <c r="K148" s="162"/>
      <c r="L148" s="335"/>
      <c r="M148" s="162">
        <f t="shared" si="37"/>
        <v>0</v>
      </c>
      <c r="N148" s="335"/>
      <c r="O148" s="162">
        <f t="shared" si="38"/>
        <v>0</v>
      </c>
      <c r="P148" s="162">
        <f t="shared" si="39"/>
        <v>0</v>
      </c>
    </row>
    <row r="149" spans="2:16">
      <c r="B149" s="9" t="str">
        <f t="shared" si="26"/>
        <v/>
      </c>
      <c r="C149" s="157">
        <f>IF(D93="","-",+C148+1)</f>
        <v>2058</v>
      </c>
      <c r="D149" s="158">
        <f>IF(F148+SUM(E$99:E148)=D$92,F148,D$92-SUM(E$99:E148))</f>
        <v>0</v>
      </c>
      <c r="E149" s="165">
        <f>IF(+J96&lt;F148,J96,D149)</f>
        <v>0</v>
      </c>
      <c r="F149" s="163">
        <f t="shared" si="34"/>
        <v>0</v>
      </c>
      <c r="G149" s="163">
        <f t="shared" si="35"/>
        <v>0</v>
      </c>
      <c r="H149" s="167">
        <f t="shared" si="32"/>
        <v>0</v>
      </c>
      <c r="I149" s="317">
        <f t="shared" si="33"/>
        <v>0</v>
      </c>
      <c r="J149" s="162">
        <f t="shared" si="36"/>
        <v>0</v>
      </c>
      <c r="K149" s="162"/>
      <c r="L149" s="335"/>
      <c r="M149" s="162">
        <f t="shared" si="37"/>
        <v>0</v>
      </c>
      <c r="N149" s="335"/>
      <c r="O149" s="162">
        <f t="shared" si="38"/>
        <v>0</v>
      </c>
      <c r="P149" s="162">
        <f t="shared" si="39"/>
        <v>0</v>
      </c>
    </row>
    <row r="150" spans="2:16">
      <c r="B150" s="9" t="str">
        <f t="shared" si="26"/>
        <v/>
      </c>
      <c r="C150" s="157">
        <f>IF(D93="","-",+C149+1)</f>
        <v>2059</v>
      </c>
      <c r="D150" s="158">
        <f>IF(F149+SUM(E$99:E149)=D$92,F149,D$92-SUM(E$99:E149))</f>
        <v>0</v>
      </c>
      <c r="E150" s="165">
        <f>IF(+J96&lt;F149,J96,D150)</f>
        <v>0</v>
      </c>
      <c r="F150" s="163">
        <f t="shared" si="34"/>
        <v>0</v>
      </c>
      <c r="G150" s="163">
        <f t="shared" si="35"/>
        <v>0</v>
      </c>
      <c r="H150" s="167">
        <f t="shared" si="32"/>
        <v>0</v>
      </c>
      <c r="I150" s="317">
        <f t="shared" si="33"/>
        <v>0</v>
      </c>
      <c r="J150" s="162">
        <f t="shared" si="36"/>
        <v>0</v>
      </c>
      <c r="K150" s="162"/>
      <c r="L150" s="335"/>
      <c r="M150" s="162">
        <f t="shared" si="37"/>
        <v>0</v>
      </c>
      <c r="N150" s="335"/>
      <c r="O150" s="162">
        <f t="shared" si="38"/>
        <v>0</v>
      </c>
      <c r="P150" s="162">
        <f t="shared" si="39"/>
        <v>0</v>
      </c>
    </row>
    <row r="151" spans="2:16">
      <c r="B151" s="9" t="str">
        <f t="shared" si="26"/>
        <v/>
      </c>
      <c r="C151" s="157">
        <f>IF(D93="","-",+C150+1)</f>
        <v>2060</v>
      </c>
      <c r="D151" s="158">
        <f>IF(F150+SUM(E$99:E150)=D$92,F150,D$92-SUM(E$99:E150))</f>
        <v>0</v>
      </c>
      <c r="E151" s="165">
        <f>IF(+J96&lt;F150,J96,D151)</f>
        <v>0</v>
      </c>
      <c r="F151" s="163">
        <f t="shared" si="34"/>
        <v>0</v>
      </c>
      <c r="G151" s="163">
        <f t="shared" si="35"/>
        <v>0</v>
      </c>
      <c r="H151" s="167">
        <f t="shared" si="32"/>
        <v>0</v>
      </c>
      <c r="I151" s="317">
        <f t="shared" si="33"/>
        <v>0</v>
      </c>
      <c r="J151" s="162">
        <f t="shared" si="36"/>
        <v>0</v>
      </c>
      <c r="K151" s="162"/>
      <c r="L151" s="335"/>
      <c r="M151" s="162">
        <f t="shared" si="37"/>
        <v>0</v>
      </c>
      <c r="N151" s="335"/>
      <c r="O151" s="162">
        <f t="shared" si="38"/>
        <v>0</v>
      </c>
      <c r="P151" s="162">
        <f t="shared" si="39"/>
        <v>0</v>
      </c>
    </row>
    <row r="152" spans="2:16">
      <c r="B152" s="9" t="str">
        <f t="shared" si="26"/>
        <v/>
      </c>
      <c r="C152" s="157">
        <f>IF(D93="","-",+C151+1)</f>
        <v>2061</v>
      </c>
      <c r="D152" s="158">
        <f>IF(F151+SUM(E$99:E151)=D$92,F151,D$92-SUM(E$99:E151))</f>
        <v>0</v>
      </c>
      <c r="E152" s="165">
        <f>IF(+J96&lt;F151,J96,D152)</f>
        <v>0</v>
      </c>
      <c r="F152" s="163">
        <f t="shared" si="34"/>
        <v>0</v>
      </c>
      <c r="G152" s="163">
        <f t="shared" si="35"/>
        <v>0</v>
      </c>
      <c r="H152" s="167">
        <f t="shared" si="32"/>
        <v>0</v>
      </c>
      <c r="I152" s="317">
        <f t="shared" si="33"/>
        <v>0</v>
      </c>
      <c r="J152" s="162">
        <f t="shared" si="36"/>
        <v>0</v>
      </c>
      <c r="K152" s="162"/>
      <c r="L152" s="335"/>
      <c r="M152" s="162">
        <f t="shared" si="37"/>
        <v>0</v>
      </c>
      <c r="N152" s="335"/>
      <c r="O152" s="162">
        <f t="shared" si="38"/>
        <v>0</v>
      </c>
      <c r="P152" s="162">
        <f t="shared" si="39"/>
        <v>0</v>
      </c>
    </row>
    <row r="153" spans="2:16">
      <c r="B153" s="9" t="str">
        <f t="shared" si="26"/>
        <v/>
      </c>
      <c r="C153" s="157">
        <f>IF(D93="","-",+C152+1)</f>
        <v>2062</v>
      </c>
      <c r="D153" s="158">
        <f>IF(F152+SUM(E$99:E152)=D$92,F152,D$92-SUM(E$99:E152))</f>
        <v>0</v>
      </c>
      <c r="E153" s="165">
        <f>IF(+J96&lt;F152,J96,D153)</f>
        <v>0</v>
      </c>
      <c r="F153" s="163">
        <f t="shared" si="34"/>
        <v>0</v>
      </c>
      <c r="G153" s="163">
        <f t="shared" si="35"/>
        <v>0</v>
      </c>
      <c r="H153" s="167">
        <f t="shared" si="32"/>
        <v>0</v>
      </c>
      <c r="I153" s="317">
        <f t="shared" si="33"/>
        <v>0</v>
      </c>
      <c r="J153" s="162">
        <f t="shared" si="36"/>
        <v>0</v>
      </c>
      <c r="K153" s="162"/>
      <c r="L153" s="335"/>
      <c r="M153" s="162">
        <f t="shared" si="37"/>
        <v>0</v>
      </c>
      <c r="N153" s="335"/>
      <c r="O153" s="162">
        <f t="shared" si="38"/>
        <v>0</v>
      </c>
      <c r="P153" s="162">
        <f t="shared" si="39"/>
        <v>0</v>
      </c>
    </row>
    <row r="154" spans="2:16" ht="13.5" thickBot="1">
      <c r="B154" s="9" t="str">
        <f t="shared" si="26"/>
        <v/>
      </c>
      <c r="C154" s="168">
        <f>IF(D93="","-",+C153+1)</f>
        <v>2063</v>
      </c>
      <c r="D154" s="219">
        <f>IF(F153+SUM(E$99:E153)=D$92,F153,D$92-SUM(E$99:E153))</f>
        <v>0</v>
      </c>
      <c r="E154" s="377">
        <f>IF(+J96&lt;F153,J96,D154)</f>
        <v>0</v>
      </c>
      <c r="F154" s="169">
        <f t="shared" si="34"/>
        <v>0</v>
      </c>
      <c r="G154" s="169">
        <f t="shared" si="35"/>
        <v>0</v>
      </c>
      <c r="H154" s="171">
        <f t="shared" si="32"/>
        <v>0</v>
      </c>
      <c r="I154" s="318">
        <f t="shared" si="33"/>
        <v>0</v>
      </c>
      <c r="J154" s="173">
        <f t="shared" si="36"/>
        <v>0</v>
      </c>
      <c r="K154" s="162"/>
      <c r="L154" s="336"/>
      <c r="M154" s="173">
        <f t="shared" si="37"/>
        <v>0</v>
      </c>
      <c r="N154" s="336"/>
      <c r="O154" s="173">
        <f t="shared" si="38"/>
        <v>0</v>
      </c>
      <c r="P154" s="173">
        <f t="shared" si="39"/>
        <v>0</v>
      </c>
    </row>
    <row r="155" spans="2:16">
      <c r="C155" s="158" t="s">
        <v>72</v>
      </c>
      <c r="D155" s="115"/>
      <c r="E155" s="115">
        <f>SUM(E99:E154)</f>
        <v>1520502</v>
      </c>
      <c r="F155" s="115"/>
      <c r="G155" s="115"/>
      <c r="H155" s="115">
        <f>SUM(H99:H154)</f>
        <v>5587658.6436521485</v>
      </c>
      <c r="I155" s="115">
        <f>SUM(I99:I154)</f>
        <v>5587658.6436521485</v>
      </c>
      <c r="J155" s="115">
        <f>SUM(J99:J154)</f>
        <v>0</v>
      </c>
      <c r="K155" s="115"/>
      <c r="L155" s="115"/>
      <c r="M155" s="115"/>
      <c r="N155" s="115"/>
      <c r="O155" s="115"/>
      <c r="P155" s="1"/>
    </row>
    <row r="156" spans="2:16">
      <c r="C156" t="s">
        <v>95</v>
      </c>
      <c r="D156" s="2"/>
      <c r="E156" s="1"/>
      <c r="F156" s="1"/>
      <c r="G156" s="1"/>
      <c r="H156" s="1"/>
      <c r="I156" s="3"/>
      <c r="J156" s="3"/>
      <c r="K156" s="115"/>
      <c r="L156" s="3"/>
      <c r="M156" s="3"/>
      <c r="N156" s="3"/>
      <c r="O156" s="3"/>
      <c r="P156" s="1"/>
    </row>
    <row r="157" spans="2:16">
      <c r="C157" s="220"/>
      <c r="D157" s="2"/>
      <c r="E157" s="1"/>
      <c r="F157" s="1"/>
      <c r="G157" s="1"/>
      <c r="H157" s="1"/>
      <c r="I157" s="3"/>
      <c r="J157" s="3"/>
      <c r="K157" s="115"/>
      <c r="L157" s="3"/>
      <c r="M157" s="3"/>
      <c r="N157" s="3"/>
      <c r="O157" s="3"/>
      <c r="P157" s="1"/>
    </row>
    <row r="158" spans="2:16">
      <c r="C158" s="257" t="s">
        <v>143</v>
      </c>
      <c r="D158" s="2"/>
      <c r="E158" s="1"/>
      <c r="F158" s="1"/>
      <c r="G158" s="1"/>
      <c r="H158" s="1"/>
      <c r="I158" s="3"/>
      <c r="J158" s="3"/>
      <c r="K158" s="115"/>
      <c r="L158" s="3"/>
      <c r="M158" s="3"/>
      <c r="N158" s="3"/>
      <c r="O158" s="3"/>
      <c r="P158" s="1"/>
    </row>
    <row r="159" spans="2:16">
      <c r="C159" s="127" t="s">
        <v>73</v>
      </c>
      <c r="D159" s="158"/>
      <c r="E159" s="158"/>
      <c r="F159" s="158"/>
      <c r="G159" s="158"/>
      <c r="H159" s="115"/>
      <c r="I159" s="115"/>
      <c r="J159" s="175"/>
      <c r="K159" s="175"/>
      <c r="L159" s="175"/>
      <c r="M159" s="175"/>
      <c r="N159" s="175"/>
      <c r="O159" s="175"/>
      <c r="P159" s="1"/>
    </row>
    <row r="160" spans="2:16">
      <c r="C160" s="221" t="s">
        <v>74</v>
      </c>
      <c r="D160" s="158"/>
      <c r="E160" s="158"/>
      <c r="F160" s="158"/>
      <c r="G160" s="158"/>
      <c r="H160" s="115"/>
      <c r="I160" s="115"/>
      <c r="J160" s="175"/>
      <c r="K160" s="175"/>
      <c r="L160" s="175"/>
      <c r="M160" s="175"/>
      <c r="N160" s="175"/>
      <c r="O160" s="175"/>
      <c r="P160" s="1"/>
    </row>
    <row r="161" spans="3:16">
      <c r="C161" s="221"/>
      <c r="D161" s="158"/>
      <c r="E161" s="158"/>
      <c r="F161" s="158"/>
      <c r="G161" s="158"/>
      <c r="H161" s="115"/>
      <c r="I161" s="115"/>
      <c r="J161" s="175"/>
      <c r="K161" s="175"/>
      <c r="L161" s="175"/>
      <c r="M161" s="175"/>
      <c r="N161" s="175"/>
      <c r="O161" s="175"/>
      <c r="P161" s="1"/>
    </row>
    <row r="162" spans="3:16" ht="18">
      <c r="C162" s="221"/>
      <c r="D162" s="158"/>
      <c r="E162" s="158"/>
      <c r="F162" s="158"/>
      <c r="G162" s="158"/>
      <c r="H162" s="115"/>
      <c r="I162" s="115"/>
      <c r="J162" s="175"/>
      <c r="K162" s="175"/>
      <c r="L162" s="175"/>
      <c r="M162" s="175"/>
      <c r="N162" s="175"/>
      <c r="P162" s="254" t="s">
        <v>140</v>
      </c>
    </row>
  </sheetData>
  <phoneticPr fontId="0" type="noConversion"/>
  <conditionalFormatting sqref="C17:C72">
    <cfRule type="cellIs" dxfId="50" priority="1" stopIfTrue="1" operator="equal">
      <formula>$I$10</formula>
    </cfRule>
  </conditionalFormatting>
  <conditionalFormatting sqref="C99:C154">
    <cfRule type="cellIs" dxfId="49" priority="2" stopIfTrue="1" operator="equal">
      <formula>$J$92</formula>
    </cfRule>
  </conditionalFormatting>
  <pageMargins left="0.5" right="0.25" top="1" bottom="0.25" header="0.25" footer="0.5"/>
  <pageSetup scale="47" fitToHeight="2" orientation="landscape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743B56C7-E868-45FB-AB77-C182B6D87CF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28</vt:i4>
      </vt:variant>
    </vt:vector>
  </HeadingPairs>
  <TitlesOfParts>
    <vt:vector size="60" baseType="lpstr">
      <vt:lpstr>PSO Sch 11 Rates</vt:lpstr>
      <vt:lpstr>PSO.WS.F.BPU.ATRR.Projected</vt:lpstr>
      <vt:lpstr>PSO.WS.G.BPU.ATRR.True-up</vt:lpstr>
      <vt:lpstr>P.001</vt:lpstr>
      <vt:lpstr>P.002</vt:lpstr>
      <vt:lpstr>P.003</vt:lpstr>
      <vt:lpstr>P.004</vt:lpstr>
      <vt:lpstr>P.005</vt:lpstr>
      <vt:lpstr>P.006</vt:lpstr>
      <vt:lpstr>P.007</vt:lpstr>
      <vt:lpstr>P.008</vt:lpstr>
      <vt:lpstr>P.009</vt:lpstr>
      <vt:lpstr>P.010</vt:lpstr>
      <vt:lpstr>P.011</vt:lpstr>
      <vt:lpstr>P.012</vt:lpstr>
      <vt:lpstr>P.013</vt:lpstr>
      <vt:lpstr>P.014</vt:lpstr>
      <vt:lpstr>P.015</vt:lpstr>
      <vt:lpstr>P.016</vt:lpstr>
      <vt:lpstr>P.017</vt:lpstr>
      <vt:lpstr>P.018</vt:lpstr>
      <vt:lpstr>P.019</vt:lpstr>
      <vt:lpstr>P.020</vt:lpstr>
      <vt:lpstr>P.021</vt:lpstr>
      <vt:lpstr>P.022</vt:lpstr>
      <vt:lpstr>P.023</vt:lpstr>
      <vt:lpstr>P.024</vt:lpstr>
      <vt:lpstr>P.025</vt:lpstr>
      <vt:lpstr>P.026</vt:lpstr>
      <vt:lpstr>P.027</vt:lpstr>
      <vt:lpstr>P.028</vt:lpstr>
      <vt:lpstr>P.xyz - blank</vt:lpstr>
      <vt:lpstr>P.001!Print_Area</vt:lpstr>
      <vt:lpstr>P.002!Print_Area</vt:lpstr>
      <vt:lpstr>P.003!Print_Area</vt:lpstr>
      <vt:lpstr>P.004!Print_Area</vt:lpstr>
      <vt:lpstr>P.005!Print_Area</vt:lpstr>
      <vt:lpstr>P.006!Print_Area</vt:lpstr>
      <vt:lpstr>P.007!Print_Area</vt:lpstr>
      <vt:lpstr>P.008!Print_Area</vt:lpstr>
      <vt:lpstr>P.009!Print_Area</vt:lpstr>
      <vt:lpstr>P.010!Print_Area</vt:lpstr>
      <vt:lpstr>P.011!Print_Area</vt:lpstr>
      <vt:lpstr>P.012!Print_Area</vt:lpstr>
      <vt:lpstr>P.013!Print_Area</vt:lpstr>
      <vt:lpstr>P.014!Print_Area</vt:lpstr>
      <vt:lpstr>P.015!Print_Area</vt:lpstr>
      <vt:lpstr>P.016!Print_Area</vt:lpstr>
      <vt:lpstr>P.017!Print_Area</vt:lpstr>
      <vt:lpstr>P.018!Print_Area</vt:lpstr>
      <vt:lpstr>P.019!Print_Area</vt:lpstr>
      <vt:lpstr>P.020!Print_Area</vt:lpstr>
      <vt:lpstr>P.021!Print_Area</vt:lpstr>
      <vt:lpstr>P.022!Print_Area</vt:lpstr>
      <vt:lpstr>'P.xyz - blank'!Print_Area</vt:lpstr>
      <vt:lpstr>'PSO Sch 11 Rates'!Print_Area</vt:lpstr>
      <vt:lpstr>PSO.WS.F.BPU.ATRR.Projected!Print_Area</vt:lpstr>
      <vt:lpstr>'PSO.WS.G.BPU.ATRR.True-up'!Print_Area</vt:lpstr>
      <vt:lpstr>PSO.WS.F.BPU.ATRR.Projected!Print_Titles</vt:lpstr>
      <vt:lpstr>'PSO.WS.G.BPU.ATRR.True-up'!Print_Titles</vt:lpstr>
    </vt:vector>
  </TitlesOfParts>
  <Company>AEP-IT-CPS 4/30/3-(8-835-3050)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R.Pennybaker</dc:creator>
  <cp:keywords/>
  <cp:lastModifiedBy>s177040</cp:lastModifiedBy>
  <cp:lastPrinted>2019-10-18T15:42:08Z</cp:lastPrinted>
  <dcterms:created xsi:type="dcterms:W3CDTF">2009-05-11T14:02:48Z</dcterms:created>
  <dcterms:modified xsi:type="dcterms:W3CDTF">2019-10-31T11:01:16Z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e06962cf-6976-440c-be46-69a26b4e70bb</vt:lpwstr>
  </property>
  <property fmtid="{D5CDD505-2E9C-101B-9397-08002B2CF9AE}" pid="3" name="bjSaver">
    <vt:lpwstr>clRxCTTKA7z930TtRLwKph96GxWYXtbn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